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HV10.5 .D63 2005</t>
        </is>
      </c>
      <c r="C2" t="inlineStr">
        <is>
          <t>0                      HV 0010500D  63          2005</t>
        </is>
      </c>
      <c r="D2" t="inlineStr">
        <is>
          <t>Social work career development : a handbook for job hunting and career planning / Carol Nesslein Doelling.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Doelling, Carol Nesslein.</t>
        </is>
      </c>
      <c r="L2" t="inlineStr">
        <is>
          <t>Washington, DC : NASW Press/National Association of Social Workers, [2005].</t>
        </is>
      </c>
      <c r="M2" t="inlineStr">
        <is>
          <t>2005</t>
        </is>
      </c>
      <c r="N2" t="inlineStr">
        <is>
          <t>2nd ed.</t>
        </is>
      </c>
      <c r="O2" t="inlineStr">
        <is>
          <t>eng</t>
        </is>
      </c>
      <c r="P2" t="inlineStr">
        <is>
          <t>dcu</t>
        </is>
      </c>
      <c r="R2" t="inlineStr">
        <is>
          <t xml:space="preserve">HV </t>
        </is>
      </c>
      <c r="S2" t="n">
        <v>3</v>
      </c>
      <c r="T2" t="n">
        <v>3</v>
      </c>
      <c r="U2" t="inlineStr">
        <is>
          <t>2005-05-13</t>
        </is>
      </c>
      <c r="V2" t="inlineStr">
        <is>
          <t>2005-05-13</t>
        </is>
      </c>
      <c r="W2" t="inlineStr">
        <is>
          <t>2005-04-07</t>
        </is>
      </c>
      <c r="X2" t="inlineStr">
        <is>
          <t>2005-04-07</t>
        </is>
      </c>
      <c r="Y2" t="n">
        <v>345</v>
      </c>
      <c r="Z2" t="n">
        <v>319</v>
      </c>
      <c r="AA2" t="n">
        <v>511</v>
      </c>
      <c r="AB2" t="n">
        <v>3</v>
      </c>
      <c r="AC2" t="n">
        <v>4</v>
      </c>
      <c r="AD2" t="n">
        <v>12</v>
      </c>
      <c r="AE2" t="n">
        <v>21</v>
      </c>
      <c r="AF2" t="n">
        <v>2</v>
      </c>
      <c r="AG2" t="n">
        <v>7</v>
      </c>
      <c r="AH2" t="n">
        <v>3</v>
      </c>
      <c r="AI2" t="n">
        <v>6</v>
      </c>
      <c r="AJ2" t="n">
        <v>7</v>
      </c>
      <c r="AK2" t="n">
        <v>9</v>
      </c>
      <c r="AL2" t="n">
        <v>2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HYPERLINK("https://creighton-primo.hosted.exlibrisgroup.com/primo-explore/search?tab=default_tab&amp;search_scope=EVERYTHING&amp;vid=01CRU&amp;lang=en_US&amp;offset=0&amp;query=any,contains,991004408949702656","Catalog Record")</f>
        <v/>
      </c>
      <c r="AT2">
        <f>HYPERLINK("http://www.worldcat.org/oclc/56096062","WorldCat Record")</f>
        <v/>
      </c>
      <c r="AU2" t="inlineStr">
        <is>
          <t>639840:eng</t>
        </is>
      </c>
      <c r="AV2" t="inlineStr">
        <is>
          <t>56096062</t>
        </is>
      </c>
      <c r="AW2" t="inlineStr">
        <is>
          <t>991004408949702656</t>
        </is>
      </c>
      <c r="AX2" t="inlineStr">
        <is>
          <t>991004408949702656</t>
        </is>
      </c>
      <c r="AY2" t="inlineStr">
        <is>
          <t>2263761390002656</t>
        </is>
      </c>
      <c r="AZ2" t="inlineStr">
        <is>
          <t>BOOK</t>
        </is>
      </c>
      <c r="BB2" t="inlineStr">
        <is>
          <t>9780871013637</t>
        </is>
      </c>
      <c r="BC2" t="inlineStr">
        <is>
          <t>32285005048573</t>
        </is>
      </c>
      <c r="BD2" t="inlineStr">
        <is>
          <t>893247553</t>
        </is>
      </c>
    </row>
    <row r="3">
      <c r="A3" t="inlineStr">
        <is>
          <t>No</t>
        </is>
      </c>
      <c r="B3" t="inlineStr">
        <is>
          <t>HV10.5 .W43 1986</t>
        </is>
      </c>
      <c r="C3" t="inlineStr">
        <is>
          <t>0                      HV 0010500W  43          1986</t>
        </is>
      </c>
      <c r="D3" t="inlineStr">
        <is>
          <t>Social work ethics day to day : guidelines for professional practice / Carolyn Cressy Wells with M. Kathleen Masch.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Wells, Carolyn Cressy.</t>
        </is>
      </c>
      <c r="L3" t="inlineStr">
        <is>
          <t>New York : Longman, c1986.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HV </t>
        </is>
      </c>
      <c r="S3" t="n">
        <v>4</v>
      </c>
      <c r="T3" t="n">
        <v>4</v>
      </c>
      <c r="U3" t="inlineStr">
        <is>
          <t>2000-03-07</t>
        </is>
      </c>
      <c r="V3" t="inlineStr">
        <is>
          <t>2000-03-07</t>
        </is>
      </c>
      <c r="W3" t="inlineStr">
        <is>
          <t>1994-04-06</t>
        </is>
      </c>
      <c r="X3" t="inlineStr">
        <is>
          <t>1994-04-06</t>
        </is>
      </c>
      <c r="Y3" t="n">
        <v>268</v>
      </c>
      <c r="Z3" t="n">
        <v>235</v>
      </c>
      <c r="AA3" t="n">
        <v>412</v>
      </c>
      <c r="AB3" t="n">
        <v>2</v>
      </c>
      <c r="AC3" t="n">
        <v>2</v>
      </c>
      <c r="AD3" t="n">
        <v>10</v>
      </c>
      <c r="AE3" t="n">
        <v>15</v>
      </c>
      <c r="AF3" t="n">
        <v>5</v>
      </c>
      <c r="AG3" t="n">
        <v>5</v>
      </c>
      <c r="AH3" t="n">
        <v>3</v>
      </c>
      <c r="AI3" t="n">
        <v>4</v>
      </c>
      <c r="AJ3" t="n">
        <v>4</v>
      </c>
      <c r="AK3" t="n">
        <v>9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HYPERLINK("http://catalog.hathitrust.org/Record/000388608","HathiTrust Record")</f>
        <v/>
      </c>
      <c r="AS3">
        <f>HYPERLINK("https://creighton-primo.hosted.exlibrisgroup.com/primo-explore/search?tab=default_tab&amp;search_scope=EVERYTHING&amp;vid=01CRU&amp;lang=en_US&amp;offset=0&amp;query=any,contains,991000647269702656","Catalog Record")</f>
        <v/>
      </c>
      <c r="AT3">
        <f>HYPERLINK("http://www.worldcat.org/oclc/12135241","WorldCat Record")</f>
        <v/>
      </c>
      <c r="AU3" t="inlineStr">
        <is>
          <t>1081094:eng</t>
        </is>
      </c>
      <c r="AV3" t="inlineStr">
        <is>
          <t>12135241</t>
        </is>
      </c>
      <c r="AW3" t="inlineStr">
        <is>
          <t>991000647269702656</t>
        </is>
      </c>
      <c r="AX3" t="inlineStr">
        <is>
          <t>991000647269702656</t>
        </is>
      </c>
      <c r="AY3" t="inlineStr">
        <is>
          <t>2259998740002656</t>
        </is>
      </c>
      <c r="AZ3" t="inlineStr">
        <is>
          <t>BOOK</t>
        </is>
      </c>
      <c r="BB3" t="inlineStr">
        <is>
          <t>9780582285828</t>
        </is>
      </c>
      <c r="BC3" t="inlineStr">
        <is>
          <t>32285001863710</t>
        </is>
      </c>
      <c r="BD3" t="inlineStr">
        <is>
          <t>893315123</t>
        </is>
      </c>
    </row>
    <row r="4">
      <c r="A4" t="inlineStr">
        <is>
          <t>No</t>
        </is>
      </c>
      <c r="B4" t="inlineStr">
        <is>
          <t>HV105 .A75</t>
        </is>
      </c>
      <c r="C4" t="inlineStr">
        <is>
          <t>0                      HV 0105000A  75</t>
        </is>
      </c>
      <c r="D4" t="inlineStr">
        <is>
          <t>Social welfare in Canada : ideals and realities / Andrew Armitage.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Armitage, Andrew.</t>
        </is>
      </c>
      <c r="L4" t="inlineStr">
        <is>
          <t>Toronto : McClelland and Stewart, c1975.</t>
        </is>
      </c>
      <c r="M4" t="inlineStr">
        <is>
          <t>1975</t>
        </is>
      </c>
      <c r="O4" t="inlineStr">
        <is>
          <t>eng</t>
        </is>
      </c>
      <c r="P4" t="inlineStr">
        <is>
          <t>onc</t>
        </is>
      </c>
      <c r="R4" t="inlineStr">
        <is>
          <t xml:space="preserve">HV </t>
        </is>
      </c>
      <c r="S4" t="n">
        <v>2</v>
      </c>
      <c r="T4" t="n">
        <v>2</v>
      </c>
      <c r="U4" t="inlineStr">
        <is>
          <t>1994-02-27</t>
        </is>
      </c>
      <c r="V4" t="inlineStr">
        <is>
          <t>1994-02-27</t>
        </is>
      </c>
      <c r="W4" t="inlineStr">
        <is>
          <t>1993-05-17</t>
        </is>
      </c>
      <c r="X4" t="inlineStr">
        <is>
          <t>1993-05-17</t>
        </is>
      </c>
      <c r="Y4" t="n">
        <v>189</v>
      </c>
      <c r="Z4" t="n">
        <v>113</v>
      </c>
      <c r="AA4" t="n">
        <v>147</v>
      </c>
      <c r="AB4" t="n">
        <v>1</v>
      </c>
      <c r="AC4" t="n">
        <v>1</v>
      </c>
      <c r="AD4" t="n">
        <v>3</v>
      </c>
      <c r="AE4" t="n">
        <v>3</v>
      </c>
      <c r="AF4" t="n">
        <v>0</v>
      </c>
      <c r="AG4" t="n">
        <v>0</v>
      </c>
      <c r="AH4" t="n">
        <v>1</v>
      </c>
      <c r="AI4" t="n">
        <v>1</v>
      </c>
      <c r="AJ4" t="n">
        <v>3</v>
      </c>
      <c r="AK4" t="n">
        <v>3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HYPERLINK("http://catalog.hathitrust.org/Record/000698847","HathiTrust Record")</f>
        <v/>
      </c>
      <c r="AS4">
        <f>HYPERLINK("https://creighton-primo.hosted.exlibrisgroup.com/primo-explore/search?tab=default_tab&amp;search_scope=EVERYTHING&amp;vid=01CRU&amp;lang=en_US&amp;offset=0&amp;query=any,contains,991003892919702656","Catalog Record")</f>
        <v/>
      </c>
      <c r="AT4">
        <f>HYPERLINK("http://www.worldcat.org/oclc/1801037","WorldCat Record")</f>
        <v/>
      </c>
      <c r="AU4" t="inlineStr">
        <is>
          <t>1806993497:eng</t>
        </is>
      </c>
      <c r="AV4" t="inlineStr">
        <is>
          <t>1801037</t>
        </is>
      </c>
      <c r="AW4" t="inlineStr">
        <is>
          <t>991003892919702656</t>
        </is>
      </c>
      <c r="AX4" t="inlineStr">
        <is>
          <t>991003892919702656</t>
        </is>
      </c>
      <c r="AY4" t="inlineStr">
        <is>
          <t>2267041860002656</t>
        </is>
      </c>
      <c r="AZ4" t="inlineStr">
        <is>
          <t>BOOK</t>
        </is>
      </c>
      <c r="BB4" t="inlineStr">
        <is>
          <t>9780771007255</t>
        </is>
      </c>
      <c r="BC4" t="inlineStr">
        <is>
          <t>32285001681047</t>
        </is>
      </c>
      <c r="BD4" t="inlineStr">
        <is>
          <t>893525387</t>
        </is>
      </c>
    </row>
    <row r="5">
      <c r="A5" t="inlineStr">
        <is>
          <t>No</t>
        </is>
      </c>
      <c r="B5" t="inlineStr">
        <is>
          <t>HV105 .M39 1998</t>
        </is>
      </c>
      <c r="C5" t="inlineStr">
        <is>
          <t>0                      HV 0105000M  39          1998</t>
        </is>
      </c>
      <c r="D5" t="inlineStr">
        <is>
          <t>An introduction to Canada's public social services : understanding income and health programs / Frank McGilly.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McGilly, Frank J., 1929-</t>
        </is>
      </c>
      <c r="L5" t="inlineStr">
        <is>
          <t>Toronto ; New York : Oxford University Press, 1998.</t>
        </is>
      </c>
      <c r="M5" t="inlineStr">
        <is>
          <t>1998</t>
        </is>
      </c>
      <c r="N5" t="inlineStr">
        <is>
          <t>2nd ed.</t>
        </is>
      </c>
      <c r="O5" t="inlineStr">
        <is>
          <t>eng</t>
        </is>
      </c>
      <c r="P5" t="inlineStr">
        <is>
          <t>onc</t>
        </is>
      </c>
      <c r="R5" t="inlineStr">
        <is>
          <t xml:space="preserve">HV </t>
        </is>
      </c>
      <c r="S5" t="n">
        <v>5</v>
      </c>
      <c r="T5" t="n">
        <v>5</v>
      </c>
      <c r="U5" t="inlineStr">
        <is>
          <t>2006-01-21</t>
        </is>
      </c>
      <c r="V5" t="inlineStr">
        <is>
          <t>2006-01-21</t>
        </is>
      </c>
      <c r="W5" t="inlineStr">
        <is>
          <t>2000-10-23</t>
        </is>
      </c>
      <c r="X5" t="inlineStr">
        <is>
          <t>2000-10-23</t>
        </is>
      </c>
      <c r="Y5" t="n">
        <v>147</v>
      </c>
      <c r="Z5" t="n">
        <v>78</v>
      </c>
      <c r="AA5" t="n">
        <v>111</v>
      </c>
      <c r="AB5" t="n">
        <v>1</v>
      </c>
      <c r="AC5" t="n">
        <v>1</v>
      </c>
      <c r="AD5" t="n">
        <v>2</v>
      </c>
      <c r="AE5" t="n">
        <v>3</v>
      </c>
      <c r="AF5" t="n">
        <v>2</v>
      </c>
      <c r="AG5" t="n">
        <v>2</v>
      </c>
      <c r="AH5" t="n">
        <v>0</v>
      </c>
      <c r="AI5" t="n">
        <v>0</v>
      </c>
      <c r="AJ5" t="n">
        <v>1</v>
      </c>
      <c r="AK5" t="n">
        <v>2</v>
      </c>
      <c r="AL5" t="n">
        <v>0</v>
      </c>
      <c r="AM5" t="n">
        <v>0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HYPERLINK("https://creighton-primo.hosted.exlibrisgroup.com/primo-explore/search?tab=default_tab&amp;search_scope=EVERYTHING&amp;vid=01CRU&amp;lang=en_US&amp;offset=0&amp;query=any,contains,991003234109702656","Catalog Record")</f>
        <v/>
      </c>
      <c r="AT5">
        <f>HYPERLINK("http://www.worldcat.org/oclc/38106670","WorldCat Record")</f>
        <v/>
      </c>
      <c r="AU5" t="inlineStr">
        <is>
          <t>987619:eng</t>
        </is>
      </c>
      <c r="AV5" t="inlineStr">
        <is>
          <t>38106670</t>
        </is>
      </c>
      <c r="AW5" t="inlineStr">
        <is>
          <t>991003234109702656</t>
        </is>
      </c>
      <c r="AX5" t="inlineStr">
        <is>
          <t>991003234109702656</t>
        </is>
      </c>
      <c r="AY5" t="inlineStr">
        <is>
          <t>2258665840002656</t>
        </is>
      </c>
      <c r="AZ5" t="inlineStr">
        <is>
          <t>BOOK</t>
        </is>
      </c>
      <c r="BB5" t="inlineStr">
        <is>
          <t>9780195412321</t>
        </is>
      </c>
      <c r="BC5" t="inlineStr">
        <is>
          <t>32285003769022</t>
        </is>
      </c>
      <c r="BD5" t="inlineStr">
        <is>
          <t>893899749</t>
        </is>
      </c>
    </row>
    <row r="6">
      <c r="A6" t="inlineStr">
        <is>
          <t>No</t>
        </is>
      </c>
      <c r="B6" t="inlineStr">
        <is>
          <t>HV11 .B37 2006</t>
        </is>
      </c>
      <c r="C6" t="inlineStr">
        <is>
          <t>0                      HV 0011000B  37          2006</t>
        </is>
      </c>
      <c r="D6" t="inlineStr">
        <is>
          <t>Successful social work education : a student's guide / Allan E. Barsky.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Barsky, Allan Edward.</t>
        </is>
      </c>
      <c r="L6" t="inlineStr">
        <is>
          <t>Belmont, CA : Thomson Brooks/Cole, c2006.</t>
        </is>
      </c>
      <c r="M6" t="inlineStr">
        <is>
          <t>2006</t>
        </is>
      </c>
      <c r="O6" t="inlineStr">
        <is>
          <t>eng</t>
        </is>
      </c>
      <c r="P6" t="inlineStr">
        <is>
          <t>cau</t>
        </is>
      </c>
      <c r="R6" t="inlineStr">
        <is>
          <t xml:space="preserve">HV </t>
        </is>
      </c>
      <c r="S6" t="n">
        <v>1</v>
      </c>
      <c r="T6" t="n">
        <v>1</v>
      </c>
      <c r="U6" t="inlineStr">
        <is>
          <t>2010-09-16</t>
        </is>
      </c>
      <c r="V6" t="inlineStr">
        <is>
          <t>2010-09-16</t>
        </is>
      </c>
      <c r="W6" t="inlineStr">
        <is>
          <t>2005-11-10</t>
        </is>
      </c>
      <c r="X6" t="inlineStr">
        <is>
          <t>2005-11-10</t>
        </is>
      </c>
      <c r="Y6" t="n">
        <v>74</v>
      </c>
      <c r="Z6" t="n">
        <v>39</v>
      </c>
      <c r="AA6" t="n">
        <v>39</v>
      </c>
      <c r="AB6" t="n">
        <v>1</v>
      </c>
      <c r="AC6" t="n">
        <v>1</v>
      </c>
      <c r="AD6" t="n">
        <v>1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1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HYPERLINK("https://creighton-primo.hosted.exlibrisgroup.com/primo-explore/search?tab=default_tab&amp;search_scope=EVERYTHING&amp;vid=01CRU&amp;lang=en_US&amp;offset=0&amp;query=any,contains,991004663919702656","Catalog Record")</f>
        <v/>
      </c>
      <c r="AT6">
        <f>HYPERLINK("http://www.worldcat.org/oclc/61772527","WorldCat Record")</f>
        <v/>
      </c>
      <c r="AU6" t="inlineStr">
        <is>
          <t>114121012:eng</t>
        </is>
      </c>
      <c r="AV6" t="inlineStr">
        <is>
          <t>61772527</t>
        </is>
      </c>
      <c r="AW6" t="inlineStr">
        <is>
          <t>991004663919702656</t>
        </is>
      </c>
      <c r="AX6" t="inlineStr">
        <is>
          <t>991004663919702656</t>
        </is>
      </c>
      <c r="AY6" t="inlineStr">
        <is>
          <t>2263955260002656</t>
        </is>
      </c>
      <c r="AZ6" t="inlineStr">
        <is>
          <t>BOOK</t>
        </is>
      </c>
      <c r="BB6" t="inlineStr">
        <is>
          <t>9780534641238</t>
        </is>
      </c>
      <c r="BC6" t="inlineStr">
        <is>
          <t>32285005146823</t>
        </is>
      </c>
      <c r="BD6" t="inlineStr">
        <is>
          <t>893882722</t>
        </is>
      </c>
    </row>
    <row r="7">
      <c r="A7" t="inlineStr">
        <is>
          <t>No</t>
        </is>
      </c>
      <c r="B7" t="inlineStr">
        <is>
          <t>HV11 .C782 2004</t>
        </is>
      </c>
      <c r="C7" t="inlineStr">
        <is>
          <t>0                      HV 0011000C  782         2004</t>
        </is>
      </c>
      <c r="D7" t="inlineStr">
        <is>
          <t>The evidence-based social work skills book / Barry R. Cournoyer.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Cournoyer, Barry.</t>
        </is>
      </c>
      <c r="L7" t="inlineStr">
        <is>
          <t>Boston : Pearson A and B, c2004.</t>
        </is>
      </c>
      <c r="M7" t="inlineStr">
        <is>
          <t>2004</t>
        </is>
      </c>
      <c r="O7" t="inlineStr">
        <is>
          <t>eng</t>
        </is>
      </c>
      <c r="P7" t="inlineStr">
        <is>
          <t>mau</t>
        </is>
      </c>
      <c r="R7" t="inlineStr">
        <is>
          <t xml:space="preserve">HV </t>
        </is>
      </c>
      <c r="S7" t="n">
        <v>1</v>
      </c>
      <c r="T7" t="n">
        <v>1</v>
      </c>
      <c r="U7" t="inlineStr">
        <is>
          <t>2007-03-08</t>
        </is>
      </c>
      <c r="V7" t="inlineStr">
        <is>
          <t>2007-03-08</t>
        </is>
      </c>
      <c r="W7" t="inlineStr">
        <is>
          <t>2007-03-08</t>
        </is>
      </c>
      <c r="X7" t="inlineStr">
        <is>
          <t>2007-03-08</t>
        </is>
      </c>
      <c r="Y7" t="n">
        <v>174</v>
      </c>
      <c r="Z7" t="n">
        <v>120</v>
      </c>
      <c r="AA7" t="n">
        <v>122</v>
      </c>
      <c r="AB7" t="n">
        <v>1</v>
      </c>
      <c r="AC7" t="n">
        <v>1</v>
      </c>
      <c r="AD7" t="n">
        <v>5</v>
      </c>
      <c r="AE7" t="n">
        <v>5</v>
      </c>
      <c r="AF7" t="n">
        <v>1</v>
      </c>
      <c r="AG7" t="n">
        <v>1</v>
      </c>
      <c r="AH7" t="n">
        <v>1</v>
      </c>
      <c r="AI7" t="n">
        <v>1</v>
      </c>
      <c r="AJ7" t="n">
        <v>4</v>
      </c>
      <c r="AK7" t="n">
        <v>4</v>
      </c>
      <c r="AL7" t="n">
        <v>0</v>
      </c>
      <c r="AM7" t="n">
        <v>0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HYPERLINK("http://catalog.hathitrust.org/Record/004347814","HathiTrust Record")</f>
        <v/>
      </c>
      <c r="AS7">
        <f>HYPERLINK("https://creighton-primo.hosted.exlibrisgroup.com/primo-explore/search?tab=default_tab&amp;search_scope=EVERYTHING&amp;vid=01CRU&amp;lang=en_US&amp;offset=0&amp;query=any,contains,991005035779702656","Catalog Record")</f>
        <v/>
      </c>
      <c r="AT7">
        <f>HYPERLINK("http://www.worldcat.org/oclc/52727532","WorldCat Record")</f>
        <v/>
      </c>
      <c r="AU7" t="inlineStr">
        <is>
          <t>665985:eng</t>
        </is>
      </c>
      <c r="AV7" t="inlineStr">
        <is>
          <t>52727532</t>
        </is>
      </c>
      <c r="AW7" t="inlineStr">
        <is>
          <t>991005035779702656</t>
        </is>
      </c>
      <c r="AX7" t="inlineStr">
        <is>
          <t>991005035779702656</t>
        </is>
      </c>
      <c r="AY7" t="inlineStr">
        <is>
          <t>2256829320002656</t>
        </is>
      </c>
      <c r="AZ7" t="inlineStr">
        <is>
          <t>BOOK</t>
        </is>
      </c>
      <c r="BB7" t="inlineStr">
        <is>
          <t>9780205358625</t>
        </is>
      </c>
      <c r="BC7" t="inlineStr">
        <is>
          <t>32285005280994</t>
        </is>
      </c>
      <c r="BD7" t="inlineStr">
        <is>
          <t>893883239</t>
        </is>
      </c>
    </row>
    <row r="8">
      <c r="A8" t="inlineStr">
        <is>
          <t>No</t>
        </is>
      </c>
      <c r="B8" t="inlineStr">
        <is>
          <t>HV11 .D17 2008</t>
        </is>
      </c>
      <c r="C8" t="inlineStr">
        <is>
          <t>0                      HV 0011000D  17          2008</t>
        </is>
      </c>
      <c r="D8" t="inlineStr">
        <is>
          <t>Social work research methods : from conceptualization to dissemination / Brett Drake, Melissa Jonson-Reid.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Drake, Brett.</t>
        </is>
      </c>
      <c r="L8" t="inlineStr">
        <is>
          <t>Boston : Pearson/Allyn and Bacon, c2008.</t>
        </is>
      </c>
      <c r="M8" t="inlineStr">
        <is>
          <t>2008</t>
        </is>
      </c>
      <c r="O8" t="inlineStr">
        <is>
          <t>eng</t>
        </is>
      </c>
      <c r="P8" t="inlineStr">
        <is>
          <t>mau</t>
        </is>
      </c>
      <c r="R8" t="inlineStr">
        <is>
          <t xml:space="preserve">HV </t>
        </is>
      </c>
      <c r="S8" t="n">
        <v>1</v>
      </c>
      <c r="T8" t="n">
        <v>1</v>
      </c>
      <c r="U8" t="inlineStr">
        <is>
          <t>2007-12-13</t>
        </is>
      </c>
      <c r="V8" t="inlineStr">
        <is>
          <t>2007-12-13</t>
        </is>
      </c>
      <c r="W8" t="inlineStr">
        <is>
          <t>2007-12-13</t>
        </is>
      </c>
      <c r="X8" t="inlineStr">
        <is>
          <t>2007-12-13</t>
        </is>
      </c>
      <c r="Y8" t="n">
        <v>136</v>
      </c>
      <c r="Z8" t="n">
        <v>87</v>
      </c>
      <c r="AA8" t="n">
        <v>92</v>
      </c>
      <c r="AB8" t="n">
        <v>1</v>
      </c>
      <c r="AC8" t="n">
        <v>1</v>
      </c>
      <c r="AD8" t="n">
        <v>3</v>
      </c>
      <c r="AE8" t="n">
        <v>3</v>
      </c>
      <c r="AF8" t="n">
        <v>0</v>
      </c>
      <c r="AG8" t="n">
        <v>0</v>
      </c>
      <c r="AH8" t="n">
        <v>1</v>
      </c>
      <c r="AI8" t="n">
        <v>1</v>
      </c>
      <c r="AJ8" t="n">
        <v>3</v>
      </c>
      <c r="AK8" t="n">
        <v>3</v>
      </c>
      <c r="AL8" t="n">
        <v>0</v>
      </c>
      <c r="AM8" t="n">
        <v>0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HYPERLINK("https://creighton-primo.hosted.exlibrisgroup.com/primo-explore/search?tab=default_tab&amp;search_scope=EVERYTHING&amp;vid=01CRU&amp;lang=en_US&amp;offset=0&amp;query=any,contains,991005150629702656","Catalog Record")</f>
        <v/>
      </c>
      <c r="AT8">
        <f>HYPERLINK("http://www.worldcat.org/oclc/154806658","WorldCat Record")</f>
        <v/>
      </c>
      <c r="AU8" t="inlineStr">
        <is>
          <t>320942075:eng</t>
        </is>
      </c>
      <c r="AV8" t="inlineStr">
        <is>
          <t>154806658</t>
        </is>
      </c>
      <c r="AW8" t="inlineStr">
        <is>
          <t>991005150629702656</t>
        </is>
      </c>
      <c r="AX8" t="inlineStr">
        <is>
          <t>991005150629702656</t>
        </is>
      </c>
      <c r="AY8" t="inlineStr">
        <is>
          <t>2266610760002656</t>
        </is>
      </c>
      <c r="AZ8" t="inlineStr">
        <is>
          <t>BOOK</t>
        </is>
      </c>
      <c r="BB8" t="inlineStr">
        <is>
          <t>9780205460977</t>
        </is>
      </c>
      <c r="BC8" t="inlineStr">
        <is>
          <t>32285005372825</t>
        </is>
      </c>
      <c r="BD8" t="inlineStr">
        <is>
          <t>893807894</t>
        </is>
      </c>
    </row>
    <row r="9">
      <c r="A9" t="inlineStr">
        <is>
          <t>No</t>
        </is>
      </c>
      <c r="B9" t="inlineStr">
        <is>
          <t>HV11 .E965 2008</t>
        </is>
      </c>
      <c r="C9" t="inlineStr">
        <is>
          <t>0                      HV 0011000E  965         2008</t>
        </is>
      </c>
      <c r="D9" t="inlineStr">
        <is>
          <t>The evidence-based internship : a field manual / edited by Barbara Thomlison and Kevin Corcoran.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Oxford ; New York : Oxford University Press, 2008.</t>
        </is>
      </c>
      <c r="M9" t="inlineStr">
        <is>
          <t>2008</t>
        </is>
      </c>
      <c r="O9" t="inlineStr">
        <is>
          <t>eng</t>
        </is>
      </c>
      <c r="P9" t="inlineStr">
        <is>
          <t>enk</t>
        </is>
      </c>
      <c r="R9" t="inlineStr">
        <is>
          <t xml:space="preserve">HV </t>
        </is>
      </c>
      <c r="S9" t="n">
        <v>1</v>
      </c>
      <c r="T9" t="n">
        <v>1</v>
      </c>
      <c r="U9" t="inlineStr">
        <is>
          <t>2007-12-17</t>
        </is>
      </c>
      <c r="V9" t="inlineStr">
        <is>
          <t>2007-12-17</t>
        </is>
      </c>
      <c r="W9" t="inlineStr">
        <is>
          <t>2007-12-17</t>
        </is>
      </c>
      <c r="X9" t="inlineStr">
        <is>
          <t>2007-12-17</t>
        </is>
      </c>
      <c r="Y9" t="n">
        <v>187</v>
      </c>
      <c r="Z9" t="n">
        <v>150</v>
      </c>
      <c r="AA9" t="n">
        <v>168</v>
      </c>
      <c r="AB9" t="n">
        <v>4</v>
      </c>
      <c r="AC9" t="n">
        <v>5</v>
      </c>
      <c r="AD9" t="n">
        <v>9</v>
      </c>
      <c r="AE9" t="n">
        <v>10</v>
      </c>
      <c r="AF9" t="n">
        <v>3</v>
      </c>
      <c r="AG9" t="n">
        <v>3</v>
      </c>
      <c r="AH9" t="n">
        <v>0</v>
      </c>
      <c r="AI9" t="n">
        <v>0</v>
      </c>
      <c r="AJ9" t="n">
        <v>4</v>
      </c>
      <c r="AK9" t="n">
        <v>4</v>
      </c>
      <c r="AL9" t="n">
        <v>3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HYPERLINK("https://creighton-primo.hosted.exlibrisgroup.com/primo-explore/search?tab=default_tab&amp;search_scope=EVERYTHING&amp;vid=01CRU&amp;lang=en_US&amp;offset=0&amp;query=any,contains,991005162019702656","Catalog Record")</f>
        <v/>
      </c>
      <c r="AT9">
        <f>HYPERLINK("http://www.worldcat.org/oclc/71243918","WorldCat Record")</f>
        <v/>
      </c>
      <c r="AU9" t="inlineStr">
        <is>
          <t>364615030:eng</t>
        </is>
      </c>
      <c r="AV9" t="inlineStr">
        <is>
          <t>71243918</t>
        </is>
      </c>
      <c r="AW9" t="inlineStr">
        <is>
          <t>991005162019702656</t>
        </is>
      </c>
      <c r="AX9" t="inlineStr">
        <is>
          <t>991005162019702656</t>
        </is>
      </c>
      <c r="AY9" t="inlineStr">
        <is>
          <t>2261267710002656</t>
        </is>
      </c>
      <c r="AZ9" t="inlineStr">
        <is>
          <t>BOOK</t>
        </is>
      </c>
      <c r="BB9" t="inlineStr">
        <is>
          <t>9780195323504</t>
        </is>
      </c>
      <c r="BC9" t="inlineStr">
        <is>
          <t>32285005373427</t>
        </is>
      </c>
      <c r="BD9" t="inlineStr">
        <is>
          <t>893694841</t>
        </is>
      </c>
    </row>
    <row r="10">
      <c r="A10" t="inlineStr">
        <is>
          <t>No</t>
        </is>
      </c>
      <c r="B10" t="inlineStr">
        <is>
          <t>HV11 .F37 2009</t>
        </is>
      </c>
      <c r="C10" t="inlineStr">
        <is>
          <t>0                      HV 0011000F  37          2009</t>
        </is>
      </c>
      <c r="D10" t="inlineStr">
        <is>
          <t>Research methods for social workers : a practice-based approach / Cynthia A. Faulkner and Samuel S. Faulkner.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Faulkner, Cynthia A.</t>
        </is>
      </c>
      <c r="L10" t="inlineStr">
        <is>
          <t>Chicago : Lyceum Books, c2009.</t>
        </is>
      </c>
      <c r="M10" t="inlineStr">
        <is>
          <t>2009</t>
        </is>
      </c>
      <c r="O10" t="inlineStr">
        <is>
          <t>eng</t>
        </is>
      </c>
      <c r="P10" t="inlineStr">
        <is>
          <t>ilu</t>
        </is>
      </c>
      <c r="R10" t="inlineStr">
        <is>
          <t xml:space="preserve">HV </t>
        </is>
      </c>
      <c r="S10" t="n">
        <v>1</v>
      </c>
      <c r="T10" t="n">
        <v>1</v>
      </c>
      <c r="U10" t="inlineStr">
        <is>
          <t>2009-12-10</t>
        </is>
      </c>
      <c r="V10" t="inlineStr">
        <is>
          <t>2009-12-10</t>
        </is>
      </c>
      <c r="W10" t="inlineStr">
        <is>
          <t>2009-12-10</t>
        </is>
      </c>
      <c r="X10" t="inlineStr">
        <is>
          <t>2009-12-10</t>
        </is>
      </c>
      <c r="Y10" t="n">
        <v>76</v>
      </c>
      <c r="Z10" t="n">
        <v>53</v>
      </c>
      <c r="AA10" t="n">
        <v>164</v>
      </c>
      <c r="AB10" t="n">
        <v>1</v>
      </c>
      <c r="AC10" t="n">
        <v>1</v>
      </c>
      <c r="AD10" t="n">
        <v>2</v>
      </c>
      <c r="AE10" t="n">
        <v>6</v>
      </c>
      <c r="AF10" t="n">
        <v>0</v>
      </c>
      <c r="AG10" t="n">
        <v>0</v>
      </c>
      <c r="AH10" t="n">
        <v>1</v>
      </c>
      <c r="AI10" t="n">
        <v>2</v>
      </c>
      <c r="AJ10" t="n">
        <v>1</v>
      </c>
      <c r="AK10" t="n">
        <v>5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HYPERLINK("https://creighton-primo.hosted.exlibrisgroup.com/primo-explore/search?tab=default_tab&amp;search_scope=EVERYTHING&amp;vid=01CRU&amp;lang=en_US&amp;offset=0&amp;query=any,contains,991005341479702656","Catalog Record")</f>
        <v/>
      </c>
      <c r="AT10">
        <f>HYPERLINK("http://www.worldcat.org/oclc/228300799","WorldCat Record")</f>
        <v/>
      </c>
      <c r="AU10" t="inlineStr">
        <is>
          <t>1066811340:eng</t>
        </is>
      </c>
      <c r="AV10" t="inlineStr">
        <is>
          <t>228300799</t>
        </is>
      </c>
      <c r="AW10" t="inlineStr">
        <is>
          <t>991005341479702656</t>
        </is>
      </c>
      <c r="AX10" t="inlineStr">
        <is>
          <t>991005341479702656</t>
        </is>
      </c>
      <c r="AY10" t="inlineStr">
        <is>
          <t>2261451750002656</t>
        </is>
      </c>
      <c r="AZ10" t="inlineStr">
        <is>
          <t>BOOK</t>
        </is>
      </c>
      <c r="BB10" t="inlineStr">
        <is>
          <t>9781933478159</t>
        </is>
      </c>
      <c r="BC10" t="inlineStr">
        <is>
          <t>32285005554349</t>
        </is>
      </c>
      <c r="BD10" t="inlineStr">
        <is>
          <t>893242564</t>
        </is>
      </c>
    </row>
    <row r="11">
      <c r="A11" t="inlineStr">
        <is>
          <t>No</t>
        </is>
      </c>
      <c r="B11" t="inlineStr">
        <is>
          <t>HV11 .F453 2002</t>
        </is>
      </c>
      <c r="C11" t="inlineStr">
        <is>
          <t>0                      HV 0011000F  453         2002</t>
        </is>
      </c>
      <c r="D11" t="inlineStr">
        <is>
          <t>The field placement survival guide : what you need to know to get the most from your social work practicum / edited by Linda May Grobman.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Harrisburg, PA : White Hat Communications, c2002.</t>
        </is>
      </c>
      <c r="M11" t="inlineStr">
        <is>
          <t>2002</t>
        </is>
      </c>
      <c r="O11" t="inlineStr">
        <is>
          <t>eng</t>
        </is>
      </c>
      <c r="P11" t="inlineStr">
        <is>
          <t>pau</t>
        </is>
      </c>
      <c r="Q11" t="inlineStr">
        <is>
          <t>Best of the New social worker</t>
        </is>
      </c>
      <c r="R11" t="inlineStr">
        <is>
          <t xml:space="preserve">HV </t>
        </is>
      </c>
      <c r="S11" t="n">
        <v>2</v>
      </c>
      <c r="T11" t="n">
        <v>2</v>
      </c>
      <c r="U11" t="inlineStr">
        <is>
          <t>2005-04-30</t>
        </is>
      </c>
      <c r="V11" t="inlineStr">
        <is>
          <t>2005-04-30</t>
        </is>
      </c>
      <c r="W11" t="inlineStr">
        <is>
          <t>2003-04-03</t>
        </is>
      </c>
      <c r="X11" t="inlineStr">
        <is>
          <t>2003-04-03</t>
        </is>
      </c>
      <c r="Y11" t="n">
        <v>86</v>
      </c>
      <c r="Z11" t="n">
        <v>69</v>
      </c>
      <c r="AA11" t="n">
        <v>95</v>
      </c>
      <c r="AB11" t="n">
        <v>1</v>
      </c>
      <c r="AC11" t="n">
        <v>1</v>
      </c>
      <c r="AD11" t="n">
        <v>4</v>
      </c>
      <c r="AE11" t="n">
        <v>4</v>
      </c>
      <c r="AF11" t="n">
        <v>2</v>
      </c>
      <c r="AG11" t="n">
        <v>2</v>
      </c>
      <c r="AH11" t="n">
        <v>0</v>
      </c>
      <c r="AI11" t="n">
        <v>0</v>
      </c>
      <c r="AJ11" t="n">
        <v>2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HYPERLINK("https://creighton-primo.hosted.exlibrisgroup.com/primo-explore/search?tab=default_tab&amp;search_scope=EVERYTHING&amp;vid=01CRU&amp;lang=en_US&amp;offset=0&amp;query=any,contains,991004007389702656","Catalog Record")</f>
        <v/>
      </c>
      <c r="AT11">
        <f>HYPERLINK("http://www.worldcat.org/oclc/48177120","WorldCat Record")</f>
        <v/>
      </c>
      <c r="AU11" t="inlineStr">
        <is>
          <t>905245870:eng</t>
        </is>
      </c>
      <c r="AV11" t="inlineStr">
        <is>
          <t>48177120</t>
        </is>
      </c>
      <c r="AW11" t="inlineStr">
        <is>
          <t>991004007389702656</t>
        </is>
      </c>
      <c r="AX11" t="inlineStr">
        <is>
          <t>991004007389702656</t>
        </is>
      </c>
      <c r="AY11" t="inlineStr">
        <is>
          <t>2255915610002656</t>
        </is>
      </c>
      <c r="AZ11" t="inlineStr">
        <is>
          <t>BOOK</t>
        </is>
      </c>
      <c r="BB11" t="inlineStr">
        <is>
          <t>9781929109104</t>
        </is>
      </c>
      <c r="BC11" t="inlineStr">
        <is>
          <t>32285004689476</t>
        </is>
      </c>
      <c r="BD11" t="inlineStr">
        <is>
          <t>893240894</t>
        </is>
      </c>
    </row>
    <row r="12">
      <c r="A12" t="inlineStr">
        <is>
          <t>No</t>
        </is>
      </c>
      <c r="B12" t="inlineStr">
        <is>
          <t>HV11 .G42 1999</t>
        </is>
      </c>
      <c r="C12" t="inlineStr">
        <is>
          <t>0                      HV 0011000G  42          1999</t>
        </is>
      </c>
      <c r="D12" t="inlineStr">
        <is>
          <t>Critical thinking for social workers : exercises for the helping professions / Leonard Gibbs, Eileen Gambrill.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Gibbs, Leonard E.</t>
        </is>
      </c>
      <c r="L12" t="inlineStr">
        <is>
          <t>Thousand Oaks, Calif. : Pine Forge Press, c1999.</t>
        </is>
      </c>
      <c r="M12" t="inlineStr">
        <is>
          <t>1999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HV </t>
        </is>
      </c>
      <c r="S12" t="n">
        <v>3</v>
      </c>
      <c r="T12" t="n">
        <v>3</v>
      </c>
      <c r="U12" t="inlineStr">
        <is>
          <t>2009-01-14</t>
        </is>
      </c>
      <c r="V12" t="inlineStr">
        <is>
          <t>2009-01-14</t>
        </is>
      </c>
      <c r="W12" t="inlineStr">
        <is>
          <t>2001-01-04</t>
        </is>
      </c>
      <c r="X12" t="inlineStr">
        <is>
          <t>2001-01-04</t>
        </is>
      </c>
      <c r="Y12" t="n">
        <v>143</v>
      </c>
      <c r="Z12" t="n">
        <v>106</v>
      </c>
      <c r="AA12" t="n">
        <v>112</v>
      </c>
      <c r="AB12" t="n">
        <v>3</v>
      </c>
      <c r="AC12" t="n">
        <v>3</v>
      </c>
      <c r="AD12" t="n">
        <v>6</v>
      </c>
      <c r="AE12" t="n">
        <v>6</v>
      </c>
      <c r="AF12" t="n">
        <v>1</v>
      </c>
      <c r="AG12" t="n">
        <v>1</v>
      </c>
      <c r="AH12" t="n">
        <v>0</v>
      </c>
      <c r="AI12" t="n">
        <v>0</v>
      </c>
      <c r="AJ12" t="n">
        <v>3</v>
      </c>
      <c r="AK12" t="n">
        <v>3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HYPERLINK("https://creighton-primo.hosted.exlibrisgroup.com/primo-explore/search?tab=default_tab&amp;search_scope=EVERYTHING&amp;vid=01CRU&amp;lang=en_US&amp;offset=0&amp;query=any,contains,991003335449702656","Catalog Record")</f>
        <v/>
      </c>
      <c r="AT12">
        <f>HYPERLINK("http://www.worldcat.org/oclc/40263420","WorldCat Record")</f>
        <v/>
      </c>
      <c r="AU12" t="inlineStr">
        <is>
          <t>23775035:eng</t>
        </is>
      </c>
      <c r="AV12" t="inlineStr">
        <is>
          <t>40263420</t>
        </is>
      </c>
      <c r="AW12" t="inlineStr">
        <is>
          <t>991003335449702656</t>
        </is>
      </c>
      <c r="AX12" t="inlineStr">
        <is>
          <t>991003335449702656</t>
        </is>
      </c>
      <c r="AY12" t="inlineStr">
        <is>
          <t>2271504630002656</t>
        </is>
      </c>
      <c r="AZ12" t="inlineStr">
        <is>
          <t>BOOK</t>
        </is>
      </c>
      <c r="BB12" t="inlineStr">
        <is>
          <t>9780761986089</t>
        </is>
      </c>
      <c r="BC12" t="inlineStr">
        <is>
          <t>32285004279427</t>
        </is>
      </c>
      <c r="BD12" t="inlineStr">
        <is>
          <t>893780879</t>
        </is>
      </c>
    </row>
    <row r="13">
      <c r="A13" t="inlineStr">
        <is>
          <t>No</t>
        </is>
      </c>
      <c r="B13" t="inlineStr">
        <is>
          <t>HV11 .H845 2008</t>
        </is>
      </c>
      <c r="C13" t="inlineStr">
        <is>
          <t>0                      HV 0011000H  845         2008</t>
        </is>
      </c>
      <c r="D13" t="inlineStr">
        <is>
          <t>Social work research for social justice / Beth Humphries.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Humphries, Beth, 1940-</t>
        </is>
      </c>
      <c r="L13" t="inlineStr">
        <is>
          <t>Houndmills, Basingstoke, Hampshire ; New York : Palgrave Macmillan, c2008.</t>
        </is>
      </c>
      <c r="M13" t="inlineStr">
        <is>
          <t>2008</t>
        </is>
      </c>
      <c r="O13" t="inlineStr">
        <is>
          <t>eng</t>
        </is>
      </c>
      <c r="P13" t="inlineStr">
        <is>
          <t>enk</t>
        </is>
      </c>
      <c r="Q13" t="inlineStr">
        <is>
          <t>Reshaping social work</t>
        </is>
      </c>
      <c r="R13" t="inlineStr">
        <is>
          <t xml:space="preserve">HV </t>
        </is>
      </c>
      <c r="S13" t="n">
        <v>1</v>
      </c>
      <c r="T13" t="n">
        <v>1</v>
      </c>
      <c r="U13" t="inlineStr">
        <is>
          <t>2009-10-13</t>
        </is>
      </c>
      <c r="V13" t="inlineStr">
        <is>
          <t>2009-10-13</t>
        </is>
      </c>
      <c r="W13" t="inlineStr">
        <is>
          <t>2009-10-13</t>
        </is>
      </c>
      <c r="X13" t="inlineStr">
        <is>
          <t>2009-10-13</t>
        </is>
      </c>
      <c r="Y13" t="n">
        <v>176</v>
      </c>
      <c r="Z13" t="n">
        <v>80</v>
      </c>
      <c r="AA13" t="n">
        <v>90</v>
      </c>
      <c r="AB13" t="n">
        <v>1</v>
      </c>
      <c r="AC13" t="n">
        <v>1</v>
      </c>
      <c r="AD13" t="n">
        <v>2</v>
      </c>
      <c r="AE13" t="n">
        <v>2</v>
      </c>
      <c r="AF13" t="n">
        <v>0</v>
      </c>
      <c r="AG13" t="n">
        <v>0</v>
      </c>
      <c r="AH13" t="n">
        <v>1</v>
      </c>
      <c r="AI13" t="n">
        <v>1</v>
      </c>
      <c r="AJ13" t="n">
        <v>2</v>
      </c>
      <c r="AK13" t="n">
        <v>2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HYPERLINK("https://creighton-primo.hosted.exlibrisgroup.com/primo-explore/search?tab=default_tab&amp;search_scope=EVERYTHING&amp;vid=01CRU&amp;lang=en_US&amp;offset=0&amp;query=any,contains,991005335179702656","Catalog Record")</f>
        <v/>
      </c>
      <c r="AT13">
        <f>HYPERLINK("http://www.worldcat.org/oclc/223370074","WorldCat Record")</f>
        <v/>
      </c>
      <c r="AU13" t="inlineStr">
        <is>
          <t>119527351:eng</t>
        </is>
      </c>
      <c r="AV13" t="inlineStr">
        <is>
          <t>223370074</t>
        </is>
      </c>
      <c r="AW13" t="inlineStr">
        <is>
          <t>991005335179702656</t>
        </is>
      </c>
      <c r="AX13" t="inlineStr">
        <is>
          <t>991005335179702656</t>
        </is>
      </c>
      <c r="AY13" t="inlineStr">
        <is>
          <t>2272022830002656</t>
        </is>
      </c>
      <c r="AZ13" t="inlineStr">
        <is>
          <t>BOOK</t>
        </is>
      </c>
      <c r="BB13" t="inlineStr">
        <is>
          <t>9781403949356</t>
        </is>
      </c>
      <c r="BC13" t="inlineStr">
        <is>
          <t>32285005547483</t>
        </is>
      </c>
      <c r="BD13" t="inlineStr">
        <is>
          <t>893437537</t>
        </is>
      </c>
    </row>
    <row r="14">
      <c r="A14" t="inlineStr">
        <is>
          <t>No</t>
        </is>
      </c>
      <c r="B14" t="inlineStr">
        <is>
          <t>HV11 .I566 2007</t>
        </is>
      </c>
      <c r="C14" t="inlineStr">
        <is>
          <t>0                      HV 0011000I  566         2007</t>
        </is>
      </c>
      <c r="D14" t="inlineStr">
        <is>
          <t>International social work : social problems, cultural issues and social work education / Stefan Borrmann, Michael Klassen, Christian Spatscheck (eds.).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Opladen ; Farmington Hills, MI : Barbara Budrich Publishers, 2007.</t>
        </is>
      </c>
      <c r="M14" t="inlineStr">
        <is>
          <t>2007</t>
        </is>
      </c>
      <c r="O14" t="inlineStr">
        <is>
          <t>eng</t>
        </is>
      </c>
      <c r="P14" t="inlineStr">
        <is>
          <t xml:space="preserve">gw </t>
        </is>
      </c>
      <c r="R14" t="inlineStr">
        <is>
          <t xml:space="preserve">HV </t>
        </is>
      </c>
      <c r="S14" t="n">
        <v>1</v>
      </c>
      <c r="T14" t="n">
        <v>1</v>
      </c>
      <c r="U14" t="inlineStr">
        <is>
          <t>2009-02-23</t>
        </is>
      </c>
      <c r="V14" t="inlineStr">
        <is>
          <t>2009-02-23</t>
        </is>
      </c>
      <c r="W14" t="inlineStr">
        <is>
          <t>2009-02-23</t>
        </is>
      </c>
      <c r="X14" t="inlineStr">
        <is>
          <t>2009-02-23</t>
        </is>
      </c>
      <c r="Y14" t="n">
        <v>123</v>
      </c>
      <c r="Z14" t="n">
        <v>81</v>
      </c>
      <c r="AA14" t="n">
        <v>129</v>
      </c>
      <c r="AB14" t="n">
        <v>1</v>
      </c>
      <c r="AC14" t="n">
        <v>1</v>
      </c>
      <c r="AD14" t="n">
        <v>5</v>
      </c>
      <c r="AE14" t="n">
        <v>10</v>
      </c>
      <c r="AF14" t="n">
        <v>1</v>
      </c>
      <c r="AG14" t="n">
        <v>5</v>
      </c>
      <c r="AH14" t="n">
        <v>2</v>
      </c>
      <c r="AI14" t="n">
        <v>3</v>
      </c>
      <c r="AJ14" t="n">
        <v>4</v>
      </c>
      <c r="AK14" t="n">
        <v>5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HYPERLINK("http://catalog.hathitrust.org/Record/005574007","HathiTrust Record")</f>
        <v/>
      </c>
      <c r="AS14">
        <f>HYPERLINK("https://creighton-primo.hosted.exlibrisgroup.com/primo-explore/search?tab=default_tab&amp;search_scope=EVERYTHING&amp;vid=01CRU&amp;lang=en_US&amp;offset=0&amp;query=any,contains,991005293459702656","Catalog Record")</f>
        <v/>
      </c>
      <c r="AT14">
        <f>HYPERLINK("http://www.worldcat.org/oclc/123893487","WorldCat Record")</f>
        <v/>
      </c>
      <c r="AU14" t="inlineStr">
        <is>
          <t>857291999:eng</t>
        </is>
      </c>
      <c r="AV14" t="inlineStr">
        <is>
          <t>123893487</t>
        </is>
      </c>
      <c r="AW14" t="inlineStr">
        <is>
          <t>991005293459702656</t>
        </is>
      </c>
      <c r="AX14" t="inlineStr">
        <is>
          <t>991005293459702656</t>
        </is>
      </c>
      <c r="AY14" t="inlineStr">
        <is>
          <t>2259130260002656</t>
        </is>
      </c>
      <c r="AZ14" t="inlineStr">
        <is>
          <t>BOOK</t>
        </is>
      </c>
      <c r="BB14" t="inlineStr">
        <is>
          <t>9783866490871</t>
        </is>
      </c>
      <c r="BC14" t="inlineStr">
        <is>
          <t>32285005505671</t>
        </is>
      </c>
      <c r="BD14" t="inlineStr">
        <is>
          <t>893783366</t>
        </is>
      </c>
    </row>
    <row r="15">
      <c r="A15" t="inlineStr">
        <is>
          <t>No</t>
        </is>
      </c>
      <c r="B15" t="inlineStr">
        <is>
          <t>HV11 .M3494 1996</t>
        </is>
      </c>
      <c r="C15" t="inlineStr">
        <is>
          <t>0                      HV 0011000M  3494        1996</t>
        </is>
      </c>
      <c r="D15" t="inlineStr">
        <is>
          <t>Measuring the performance of human service programs / Lawrence L. Martin, Peter M. Kettner.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Martin, Lawrence L.</t>
        </is>
      </c>
      <c r="L15" t="inlineStr">
        <is>
          <t>Thousand Oaks : Sage Publications, c1996.</t>
        </is>
      </c>
      <c r="M15" t="inlineStr">
        <is>
          <t>1996</t>
        </is>
      </c>
      <c r="O15" t="inlineStr">
        <is>
          <t>eng</t>
        </is>
      </c>
      <c r="P15" t="inlineStr">
        <is>
          <t>cau</t>
        </is>
      </c>
      <c r="Q15" t="inlineStr">
        <is>
          <t>Sage human services guides ; v. 71</t>
        </is>
      </c>
      <c r="R15" t="inlineStr">
        <is>
          <t xml:space="preserve">HV </t>
        </is>
      </c>
      <c r="S15" t="n">
        <v>12</v>
      </c>
      <c r="T15" t="n">
        <v>12</v>
      </c>
      <c r="U15" t="inlineStr">
        <is>
          <t>2006-11-13</t>
        </is>
      </c>
      <c r="V15" t="inlineStr">
        <is>
          <t>2006-11-13</t>
        </is>
      </c>
      <c r="W15" t="inlineStr">
        <is>
          <t>1997-01-23</t>
        </is>
      </c>
      <c r="X15" t="inlineStr">
        <is>
          <t>1997-01-23</t>
        </is>
      </c>
      <c r="Y15" t="n">
        <v>350</v>
      </c>
      <c r="Z15" t="n">
        <v>250</v>
      </c>
      <c r="AA15" t="n">
        <v>328</v>
      </c>
      <c r="AB15" t="n">
        <v>3</v>
      </c>
      <c r="AC15" t="n">
        <v>3</v>
      </c>
      <c r="AD15" t="n">
        <v>9</v>
      </c>
      <c r="AE15" t="n">
        <v>11</v>
      </c>
      <c r="AF15" t="n">
        <v>1</v>
      </c>
      <c r="AG15" t="n">
        <v>1</v>
      </c>
      <c r="AH15" t="n">
        <v>1</v>
      </c>
      <c r="AI15" t="n">
        <v>2</v>
      </c>
      <c r="AJ15" t="n">
        <v>7</v>
      </c>
      <c r="AK15" t="n">
        <v>9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HYPERLINK("http://catalog.hathitrust.org/Record/003073339","HathiTrust Record")</f>
        <v/>
      </c>
      <c r="AS15">
        <f>HYPERLINK("https://creighton-primo.hosted.exlibrisgroup.com/primo-explore/search?tab=default_tab&amp;search_scope=EVERYTHING&amp;vid=01CRU&amp;lang=en_US&amp;offset=0&amp;query=any,contains,991002571269702656","Catalog Record")</f>
        <v/>
      </c>
      <c r="AT15">
        <f>HYPERLINK("http://www.worldcat.org/oclc/33408066","WorldCat Record")</f>
        <v/>
      </c>
      <c r="AU15" t="inlineStr">
        <is>
          <t>37600352:eng</t>
        </is>
      </c>
      <c r="AV15" t="inlineStr">
        <is>
          <t>33408066</t>
        </is>
      </c>
      <c r="AW15" t="inlineStr">
        <is>
          <t>991002571269702656</t>
        </is>
      </c>
      <c r="AX15" t="inlineStr">
        <is>
          <t>991002571269702656</t>
        </is>
      </c>
      <c r="AY15" t="inlineStr">
        <is>
          <t>2257064270002656</t>
        </is>
      </c>
      <c r="AZ15" t="inlineStr">
        <is>
          <t>BOOK</t>
        </is>
      </c>
      <c r="BB15" t="inlineStr">
        <is>
          <t>9780803971349</t>
        </is>
      </c>
      <c r="BC15" t="inlineStr">
        <is>
          <t>32285002410693</t>
        </is>
      </c>
      <c r="BD15" t="inlineStr">
        <is>
          <t>893498273</t>
        </is>
      </c>
    </row>
    <row r="16">
      <c r="A16" t="inlineStr">
        <is>
          <t>No</t>
        </is>
      </c>
      <c r="B16" t="inlineStr">
        <is>
          <t>HV11 .R3975 2006</t>
        </is>
      </c>
      <c r="C16" t="inlineStr">
        <is>
          <t>0                      HV 0011000R  3975        2006</t>
        </is>
      </c>
      <c r="D16" t="inlineStr">
        <is>
          <t>The research process in the human services : behind the scenes / [edited by] Leslie B. Alexander, Phyllis Solomon.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Belmont, CA : Thomson Brooks/Cole, c2006.</t>
        </is>
      </c>
      <c r="M16" t="inlineStr">
        <is>
          <t>2006</t>
        </is>
      </c>
      <c r="O16" t="inlineStr">
        <is>
          <t>eng</t>
        </is>
      </c>
      <c r="P16" t="inlineStr">
        <is>
          <t>cau</t>
        </is>
      </c>
      <c r="R16" t="inlineStr">
        <is>
          <t xml:space="preserve">HV </t>
        </is>
      </c>
      <c r="S16" t="n">
        <v>1</v>
      </c>
      <c r="T16" t="n">
        <v>1</v>
      </c>
      <c r="U16" t="inlineStr">
        <is>
          <t>2005-11-09</t>
        </is>
      </c>
      <c r="V16" t="inlineStr">
        <is>
          <t>2005-11-09</t>
        </is>
      </c>
      <c r="W16" t="inlineStr">
        <is>
          <t>2005-11-09</t>
        </is>
      </c>
      <c r="X16" t="inlineStr">
        <is>
          <t>2005-11-09</t>
        </is>
      </c>
      <c r="Y16" t="n">
        <v>111</v>
      </c>
      <c r="Z16" t="n">
        <v>81</v>
      </c>
      <c r="AA16" t="n">
        <v>83</v>
      </c>
      <c r="AB16" t="n">
        <v>2</v>
      </c>
      <c r="AC16" t="n">
        <v>2</v>
      </c>
      <c r="AD16" t="n">
        <v>3</v>
      </c>
      <c r="AE16" t="n">
        <v>3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2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HYPERLINK("http://catalog.hathitrust.org/Record/005122668","HathiTrust Record")</f>
        <v/>
      </c>
      <c r="AS16">
        <f>HYPERLINK("https://creighton-primo.hosted.exlibrisgroup.com/primo-explore/search?tab=default_tab&amp;search_scope=EVERYTHING&amp;vid=01CRU&amp;lang=en_US&amp;offset=0&amp;query=any,contains,991004671579702656","Catalog Record")</f>
        <v/>
      </c>
      <c r="AT16">
        <f>HYPERLINK("http://www.worldcat.org/oclc/60931793","WorldCat Record")</f>
        <v/>
      </c>
      <c r="AU16" t="inlineStr">
        <is>
          <t>796496786:eng</t>
        </is>
      </c>
      <c r="AV16" t="inlineStr">
        <is>
          <t>60931793</t>
        </is>
      </c>
      <c r="AW16" t="inlineStr">
        <is>
          <t>991004671579702656</t>
        </is>
      </c>
      <c r="AX16" t="inlineStr">
        <is>
          <t>991004671579702656</t>
        </is>
      </c>
      <c r="AY16" t="inlineStr">
        <is>
          <t>2261762270002656</t>
        </is>
      </c>
      <c r="AZ16" t="inlineStr">
        <is>
          <t>BOOK</t>
        </is>
      </c>
      <c r="BB16" t="inlineStr">
        <is>
          <t>9780534626105</t>
        </is>
      </c>
      <c r="BC16" t="inlineStr">
        <is>
          <t>32285005146641</t>
        </is>
      </c>
      <c r="BD16" t="inlineStr">
        <is>
          <t>893411817</t>
        </is>
      </c>
    </row>
    <row r="17">
      <c r="A17" t="inlineStr">
        <is>
          <t>No</t>
        </is>
      </c>
      <c r="B17" t="inlineStr">
        <is>
          <t>HV11 .R84 2001</t>
        </is>
      </c>
      <c r="C17" t="inlineStr">
        <is>
          <t>0                      HV 0011000R  84          2001</t>
        </is>
      </c>
      <c r="D17" t="inlineStr">
        <is>
          <t>Research methods for social work / Allen Rubin, Earl Babbie.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Rubin, Allen.</t>
        </is>
      </c>
      <c r="L17" t="inlineStr">
        <is>
          <t>Australia ; Belmont, CA : Wadsworth/Thomson Learning, c2001.</t>
        </is>
      </c>
      <c r="M17" t="inlineStr">
        <is>
          <t>2001</t>
        </is>
      </c>
      <c r="N17" t="inlineStr">
        <is>
          <t>4th ed.</t>
        </is>
      </c>
      <c r="O17" t="inlineStr">
        <is>
          <t>eng</t>
        </is>
      </c>
      <c r="P17" t="inlineStr">
        <is>
          <t xml:space="preserve">at </t>
        </is>
      </c>
      <c r="R17" t="inlineStr">
        <is>
          <t xml:space="preserve">HV </t>
        </is>
      </c>
      <c r="S17" t="n">
        <v>5</v>
      </c>
      <c r="T17" t="n">
        <v>5</v>
      </c>
      <c r="U17" t="inlineStr">
        <is>
          <t>2005-04-19</t>
        </is>
      </c>
      <c r="V17" t="inlineStr">
        <is>
          <t>2005-04-19</t>
        </is>
      </c>
      <c r="W17" t="inlineStr">
        <is>
          <t>2001-04-09</t>
        </is>
      </c>
      <c r="X17" t="inlineStr">
        <is>
          <t>2001-04-09</t>
        </is>
      </c>
      <c r="Y17" t="n">
        <v>170</v>
      </c>
      <c r="Z17" t="n">
        <v>109</v>
      </c>
      <c r="AA17" t="n">
        <v>467</v>
      </c>
      <c r="AB17" t="n">
        <v>1</v>
      </c>
      <c r="AC17" t="n">
        <v>5</v>
      </c>
      <c r="AD17" t="n">
        <v>6</v>
      </c>
      <c r="AE17" t="n">
        <v>25</v>
      </c>
      <c r="AF17" t="n">
        <v>4</v>
      </c>
      <c r="AG17" t="n">
        <v>9</v>
      </c>
      <c r="AH17" t="n">
        <v>0</v>
      </c>
      <c r="AI17" t="n">
        <v>6</v>
      </c>
      <c r="AJ17" t="n">
        <v>3</v>
      </c>
      <c r="AK17" t="n">
        <v>11</v>
      </c>
      <c r="AL17" t="n">
        <v>0</v>
      </c>
      <c r="AM17" t="n">
        <v>4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HYPERLINK("http://catalog.hathitrust.org/Record/003517910","HathiTrust Record")</f>
        <v/>
      </c>
      <c r="AS17">
        <f>HYPERLINK("https://creighton-primo.hosted.exlibrisgroup.com/primo-explore/search?tab=default_tab&amp;search_scope=EVERYTHING&amp;vid=01CRU&amp;lang=en_US&amp;offset=0&amp;query=any,contains,991003494639702656","Catalog Record")</f>
        <v/>
      </c>
      <c r="AT17">
        <f>HYPERLINK("http://www.worldcat.org/oclc/43953996","WorldCat Record")</f>
        <v/>
      </c>
      <c r="AU17" t="inlineStr">
        <is>
          <t>12348899:eng</t>
        </is>
      </c>
      <c r="AV17" t="inlineStr">
        <is>
          <t>43953996</t>
        </is>
      </c>
      <c r="AW17" t="inlineStr">
        <is>
          <t>991003494639702656</t>
        </is>
      </c>
      <c r="AX17" t="inlineStr">
        <is>
          <t>991003494639702656</t>
        </is>
      </c>
      <c r="AY17" t="inlineStr">
        <is>
          <t>2255285600002656</t>
        </is>
      </c>
      <c r="AZ17" t="inlineStr">
        <is>
          <t>BOOK</t>
        </is>
      </c>
      <c r="BB17" t="inlineStr">
        <is>
          <t>9780534362171</t>
        </is>
      </c>
      <c r="BC17" t="inlineStr">
        <is>
          <t>32285004310784</t>
        </is>
      </c>
      <c r="BD17" t="inlineStr">
        <is>
          <t>893627611</t>
        </is>
      </c>
    </row>
    <row r="18">
      <c r="A18" t="inlineStr">
        <is>
          <t>No</t>
        </is>
      </c>
      <c r="B18" t="inlineStr">
        <is>
          <t>HV11 .S36 1995</t>
        </is>
      </c>
      <c r="C18" t="inlineStr">
        <is>
          <t>0                      HV 0011000S  36          1995</t>
        </is>
      </c>
      <c r="D18" t="inlineStr">
        <is>
          <t>Outcome-based evaluation / Robert L. Schalock.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Schalock, Robert L.</t>
        </is>
      </c>
      <c r="L18" t="inlineStr">
        <is>
          <t>New York : Plenum Press, c1995.</t>
        </is>
      </c>
      <c r="M18" t="inlineStr">
        <is>
          <t>1995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HV </t>
        </is>
      </c>
      <c r="S18" t="n">
        <v>3</v>
      </c>
      <c r="T18" t="n">
        <v>3</v>
      </c>
      <c r="U18" t="inlineStr">
        <is>
          <t>2007-03-07</t>
        </is>
      </c>
      <c r="V18" t="inlineStr">
        <is>
          <t>2007-03-07</t>
        </is>
      </c>
      <c r="W18" t="inlineStr">
        <is>
          <t>1996-01-23</t>
        </is>
      </c>
      <c r="X18" t="inlineStr">
        <is>
          <t>1996-01-23</t>
        </is>
      </c>
      <c r="Y18" t="n">
        <v>374</v>
      </c>
      <c r="Z18" t="n">
        <v>281</v>
      </c>
      <c r="AA18" t="n">
        <v>895</v>
      </c>
      <c r="AB18" t="n">
        <v>3</v>
      </c>
      <c r="AC18" t="n">
        <v>29</v>
      </c>
      <c r="AD18" t="n">
        <v>13</v>
      </c>
      <c r="AE18" t="n">
        <v>38</v>
      </c>
      <c r="AF18" t="n">
        <v>5</v>
      </c>
      <c r="AG18" t="n">
        <v>11</v>
      </c>
      <c r="AH18" t="n">
        <v>3</v>
      </c>
      <c r="AI18" t="n">
        <v>5</v>
      </c>
      <c r="AJ18" t="n">
        <v>6</v>
      </c>
      <c r="AK18" t="n">
        <v>12</v>
      </c>
      <c r="AL18" t="n">
        <v>2</v>
      </c>
      <c r="AM18" t="n">
        <v>14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HYPERLINK("http://catalog.hathitrust.org/Record/003024652","HathiTrust Record")</f>
        <v/>
      </c>
      <c r="AS18">
        <f>HYPERLINK("https://creighton-primo.hosted.exlibrisgroup.com/primo-explore/search?tab=default_tab&amp;search_scope=EVERYTHING&amp;vid=01CRU&amp;lang=en_US&amp;offset=0&amp;query=any,contains,991002537219702656","Catalog Record")</f>
        <v/>
      </c>
      <c r="AT18">
        <f>HYPERLINK("http://www.worldcat.org/oclc/32969826","WorldCat Record")</f>
        <v/>
      </c>
      <c r="AU18" t="inlineStr">
        <is>
          <t>998306:eng</t>
        </is>
      </c>
      <c r="AV18" t="inlineStr">
        <is>
          <t>32969826</t>
        </is>
      </c>
      <c r="AW18" t="inlineStr">
        <is>
          <t>991002537219702656</t>
        </is>
      </c>
      <c r="AX18" t="inlineStr">
        <is>
          <t>991002537219702656</t>
        </is>
      </c>
      <c r="AY18" t="inlineStr">
        <is>
          <t>2265713360002656</t>
        </is>
      </c>
      <c r="AZ18" t="inlineStr">
        <is>
          <t>BOOK</t>
        </is>
      </c>
      <c r="BB18" t="inlineStr">
        <is>
          <t>9780306450518</t>
        </is>
      </c>
      <c r="BC18" t="inlineStr">
        <is>
          <t>32285002125465</t>
        </is>
      </c>
      <c r="BD18" t="inlineStr">
        <is>
          <t>893251348</t>
        </is>
      </c>
    </row>
    <row r="19">
      <c r="A19" t="inlineStr">
        <is>
          <t>No</t>
        </is>
      </c>
      <c r="B19" t="inlineStr">
        <is>
          <t>HV11 .S5924 1999</t>
        </is>
      </c>
      <c r="C19" t="inlineStr">
        <is>
          <t>0                      HV 0011000S  5924        1999</t>
        </is>
      </c>
      <c r="D19" t="inlineStr">
        <is>
          <t>Social work research methods : building knowledge for practice / edited by Stuart A. Kirk.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Washington, D.C. : NASW Press, c1999.</t>
        </is>
      </c>
      <c r="M19" t="inlineStr">
        <is>
          <t>1999</t>
        </is>
      </c>
      <c r="O19" t="inlineStr">
        <is>
          <t>eng</t>
        </is>
      </c>
      <c r="P19" t="inlineStr">
        <is>
          <t>dcu</t>
        </is>
      </c>
      <c r="R19" t="inlineStr">
        <is>
          <t xml:space="preserve">HV </t>
        </is>
      </c>
      <c r="S19" t="n">
        <v>5</v>
      </c>
      <c r="T19" t="n">
        <v>5</v>
      </c>
      <c r="U19" t="inlineStr">
        <is>
          <t>2006-11-05</t>
        </is>
      </c>
      <c r="V19" t="inlineStr">
        <is>
          <t>2006-11-05</t>
        </is>
      </c>
      <c r="W19" t="inlineStr">
        <is>
          <t>1999-12-20</t>
        </is>
      </c>
      <c r="X19" t="inlineStr">
        <is>
          <t>1999-12-20</t>
        </is>
      </c>
      <c r="Y19" t="n">
        <v>334</v>
      </c>
      <c r="Z19" t="n">
        <v>279</v>
      </c>
      <c r="AA19" t="n">
        <v>288</v>
      </c>
      <c r="AB19" t="n">
        <v>2</v>
      </c>
      <c r="AC19" t="n">
        <v>2</v>
      </c>
      <c r="AD19" t="n">
        <v>13</v>
      </c>
      <c r="AE19" t="n">
        <v>13</v>
      </c>
      <c r="AF19" t="n">
        <v>3</v>
      </c>
      <c r="AG19" t="n">
        <v>3</v>
      </c>
      <c r="AH19" t="n">
        <v>5</v>
      </c>
      <c r="AI19" t="n">
        <v>5</v>
      </c>
      <c r="AJ19" t="n">
        <v>7</v>
      </c>
      <c r="AK19" t="n">
        <v>7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HYPERLINK("http://catalog.hathitrust.org/Record/003321827","HathiTrust Record")</f>
        <v/>
      </c>
      <c r="AS19">
        <f>HYPERLINK("https://creighton-primo.hosted.exlibrisgroup.com/primo-explore/search?tab=default_tab&amp;search_scope=EVERYTHING&amp;vid=01CRU&amp;lang=en_US&amp;offset=0&amp;query=any,contains,991002978659702656","Catalog Record")</f>
        <v/>
      </c>
      <c r="AT19">
        <f>HYPERLINK("http://www.worldcat.org/oclc/39982198","WorldCat Record")</f>
        <v/>
      </c>
      <c r="AU19" t="inlineStr">
        <is>
          <t>894502022:eng</t>
        </is>
      </c>
      <c r="AV19" t="inlineStr">
        <is>
          <t>39982198</t>
        </is>
      </c>
      <c r="AW19" t="inlineStr">
        <is>
          <t>991002978659702656</t>
        </is>
      </c>
      <c r="AX19" t="inlineStr">
        <is>
          <t>991002978659702656</t>
        </is>
      </c>
      <c r="AY19" t="inlineStr">
        <is>
          <t>2258184490002656</t>
        </is>
      </c>
      <c r="AZ19" t="inlineStr">
        <is>
          <t>BOOK</t>
        </is>
      </c>
      <c r="BB19" t="inlineStr">
        <is>
          <t>9780871013002</t>
        </is>
      </c>
      <c r="BC19" t="inlineStr">
        <is>
          <t>32285003634770</t>
        </is>
      </c>
      <c r="BD19" t="inlineStr">
        <is>
          <t>893780478</t>
        </is>
      </c>
    </row>
    <row r="20">
      <c r="A20" t="inlineStr">
        <is>
          <t>No</t>
        </is>
      </c>
      <c r="B20" t="inlineStr">
        <is>
          <t>HV11 .S833 2010</t>
        </is>
      </c>
      <c r="C20" t="inlineStr">
        <is>
          <t>0                      HV 0011000S  833         2010</t>
        </is>
      </c>
      <c r="D20" t="inlineStr">
        <is>
          <t>A dream deferred : how social work education lost its way and what can be done / David Stoesz, Howard Jacob Karger, Terry Carrilio.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Stoesz, David.</t>
        </is>
      </c>
      <c r="L20" t="inlineStr">
        <is>
          <t>New Brunswick, N.J. : Transaction Publishers, c2010.</t>
        </is>
      </c>
      <c r="M20" t="inlineStr">
        <is>
          <t>2010</t>
        </is>
      </c>
      <c r="O20" t="inlineStr">
        <is>
          <t>eng</t>
        </is>
      </c>
      <c r="P20" t="inlineStr">
        <is>
          <t>nju</t>
        </is>
      </c>
      <c r="R20" t="inlineStr">
        <is>
          <t xml:space="preserve">HV </t>
        </is>
      </c>
      <c r="S20" t="n">
        <v>1</v>
      </c>
      <c r="T20" t="n">
        <v>1</v>
      </c>
      <c r="U20" t="inlineStr">
        <is>
          <t>2010-09-29</t>
        </is>
      </c>
      <c r="V20" t="inlineStr">
        <is>
          <t>2010-09-29</t>
        </is>
      </c>
      <c r="W20" t="inlineStr">
        <is>
          <t>2010-09-29</t>
        </is>
      </c>
      <c r="X20" t="inlineStr">
        <is>
          <t>2010-09-29</t>
        </is>
      </c>
      <c r="Y20" t="n">
        <v>238</v>
      </c>
      <c r="Z20" t="n">
        <v>204</v>
      </c>
      <c r="AA20" t="n">
        <v>229</v>
      </c>
      <c r="AB20" t="n">
        <v>2</v>
      </c>
      <c r="AC20" t="n">
        <v>2</v>
      </c>
      <c r="AD20" t="n">
        <v>8</v>
      </c>
      <c r="AE20" t="n">
        <v>8</v>
      </c>
      <c r="AF20" t="n">
        <v>3</v>
      </c>
      <c r="AG20" t="n">
        <v>3</v>
      </c>
      <c r="AH20" t="n">
        <v>2</v>
      </c>
      <c r="AI20" t="n">
        <v>2</v>
      </c>
      <c r="AJ20" t="n">
        <v>3</v>
      </c>
      <c r="AK20" t="n">
        <v>3</v>
      </c>
      <c r="AL20" t="n">
        <v>1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HYPERLINK("https://creighton-primo.hosted.exlibrisgroup.com/primo-explore/search?tab=default_tab&amp;search_scope=EVERYTHING&amp;vid=01CRU&amp;lang=en_US&amp;offset=0&amp;query=any,contains,991000153289702656","Catalog Record")</f>
        <v/>
      </c>
      <c r="AT20">
        <f>HYPERLINK("http://www.worldcat.org/oclc/489256975","WorldCat Record")</f>
        <v/>
      </c>
      <c r="AU20" t="inlineStr">
        <is>
          <t>792539609:eng</t>
        </is>
      </c>
      <c r="AV20" t="inlineStr">
        <is>
          <t>489256975</t>
        </is>
      </c>
      <c r="AW20" t="inlineStr">
        <is>
          <t>991000153289702656</t>
        </is>
      </c>
      <c r="AX20" t="inlineStr">
        <is>
          <t>991000153289702656</t>
        </is>
      </c>
      <c r="AY20" t="inlineStr">
        <is>
          <t>2265608470002656</t>
        </is>
      </c>
      <c r="AZ20" t="inlineStr">
        <is>
          <t>BOOK</t>
        </is>
      </c>
      <c r="BB20" t="inlineStr">
        <is>
          <t>9780202363806</t>
        </is>
      </c>
      <c r="BC20" t="inlineStr">
        <is>
          <t>32285005597546</t>
        </is>
      </c>
      <c r="BD20" t="inlineStr">
        <is>
          <t>893777740</t>
        </is>
      </c>
    </row>
    <row r="21">
      <c r="A21" t="inlineStr">
        <is>
          <t>No</t>
        </is>
      </c>
      <c r="B21" t="inlineStr">
        <is>
          <t>HV11 .S835 1996</t>
        </is>
      </c>
      <c r="C21" t="inlineStr">
        <is>
          <t>0                      HV 0011000S  835         1996</t>
        </is>
      </c>
      <c r="D21" t="inlineStr">
        <is>
          <t>Action research : a handbook for practitioners / Ernest T. Stringer.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Stringer, Ernest T.</t>
        </is>
      </c>
      <c r="L21" t="inlineStr">
        <is>
          <t>Thousand Oaks, Calif. : Sage Publications, c1996.</t>
        </is>
      </c>
      <c r="M21" t="inlineStr">
        <is>
          <t>1996</t>
        </is>
      </c>
      <c r="O21" t="inlineStr">
        <is>
          <t>eng</t>
        </is>
      </c>
      <c r="P21" t="inlineStr">
        <is>
          <t>cau</t>
        </is>
      </c>
      <c r="R21" t="inlineStr">
        <is>
          <t xml:space="preserve">HV </t>
        </is>
      </c>
      <c r="S21" t="n">
        <v>15</v>
      </c>
      <c r="T21" t="n">
        <v>15</v>
      </c>
      <c r="U21" t="inlineStr">
        <is>
          <t>2006-04-10</t>
        </is>
      </c>
      <c r="V21" t="inlineStr">
        <is>
          <t>2006-04-10</t>
        </is>
      </c>
      <c r="W21" t="inlineStr">
        <is>
          <t>1996-05-06</t>
        </is>
      </c>
      <c r="X21" t="inlineStr">
        <is>
          <t>1996-05-06</t>
        </is>
      </c>
      <c r="Y21" t="n">
        <v>486</v>
      </c>
      <c r="Z21" t="n">
        <v>308</v>
      </c>
      <c r="AA21" t="n">
        <v>313</v>
      </c>
      <c r="AB21" t="n">
        <v>4</v>
      </c>
      <c r="AC21" t="n">
        <v>4</v>
      </c>
      <c r="AD21" t="n">
        <v>14</v>
      </c>
      <c r="AE21" t="n">
        <v>14</v>
      </c>
      <c r="AF21" t="n">
        <v>3</v>
      </c>
      <c r="AG21" t="n">
        <v>3</v>
      </c>
      <c r="AH21" t="n">
        <v>3</v>
      </c>
      <c r="AI21" t="n">
        <v>3</v>
      </c>
      <c r="AJ21" t="n">
        <v>8</v>
      </c>
      <c r="AK21" t="n">
        <v>8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HYPERLINK("https://creighton-primo.hosted.exlibrisgroup.com/primo-explore/search?tab=default_tab&amp;search_scope=EVERYTHING&amp;vid=01CRU&amp;lang=en_US&amp;offset=0&amp;query=any,contains,991005422609702656","Catalog Record")</f>
        <v/>
      </c>
      <c r="AT21">
        <f>HYPERLINK("http://www.worldcat.org/oclc/33408082","WorldCat Record")</f>
        <v/>
      </c>
      <c r="AU21" t="inlineStr">
        <is>
          <t>4917727986:eng</t>
        </is>
      </c>
      <c r="AV21" t="inlineStr">
        <is>
          <t>33408082</t>
        </is>
      </c>
      <c r="AW21" t="inlineStr">
        <is>
          <t>991005422609702656</t>
        </is>
      </c>
      <c r="AX21" t="inlineStr">
        <is>
          <t>991005422609702656</t>
        </is>
      </c>
      <c r="AY21" t="inlineStr">
        <is>
          <t>2257068340002656</t>
        </is>
      </c>
      <c r="AZ21" t="inlineStr">
        <is>
          <t>BOOK</t>
        </is>
      </c>
      <c r="BB21" t="inlineStr">
        <is>
          <t>9780761900641</t>
        </is>
      </c>
      <c r="BC21" t="inlineStr">
        <is>
          <t>32285002159092</t>
        </is>
      </c>
      <c r="BD21" t="inlineStr">
        <is>
          <t>893796206</t>
        </is>
      </c>
    </row>
    <row r="22">
      <c r="A22" t="inlineStr">
        <is>
          <t>No</t>
        </is>
      </c>
      <c r="B22" t="inlineStr">
        <is>
          <t>HV11 .T394 2005</t>
        </is>
      </c>
      <c r="C22" t="inlineStr">
        <is>
          <t>0                      HV 0011000T  394         2005</t>
        </is>
      </c>
      <c r="D22" t="inlineStr">
        <is>
          <t>Teaching international content : curriculum resources for social work education / edited by Rosemary J. Link and Lynne M. Healy.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Alexandria, VA : Council on Social Work Education, c2005.</t>
        </is>
      </c>
      <c r="M22" t="inlineStr">
        <is>
          <t>2005</t>
        </is>
      </c>
      <c r="O22" t="inlineStr">
        <is>
          <t>eng</t>
        </is>
      </c>
      <c r="P22" t="inlineStr">
        <is>
          <t>vau</t>
        </is>
      </c>
      <c r="R22" t="inlineStr">
        <is>
          <t xml:space="preserve">HV </t>
        </is>
      </c>
      <c r="S22" t="n">
        <v>1</v>
      </c>
      <c r="T22" t="n">
        <v>1</v>
      </c>
      <c r="U22" t="inlineStr">
        <is>
          <t>2009-09-29</t>
        </is>
      </c>
      <c r="V22" t="inlineStr">
        <is>
          <t>2009-09-29</t>
        </is>
      </c>
      <c r="W22" t="inlineStr">
        <is>
          <t>2009-09-29</t>
        </is>
      </c>
      <c r="X22" t="inlineStr">
        <is>
          <t>2009-09-29</t>
        </is>
      </c>
      <c r="Y22" t="n">
        <v>162</v>
      </c>
      <c r="Z22" t="n">
        <v>137</v>
      </c>
      <c r="AA22" t="n">
        <v>144</v>
      </c>
      <c r="AB22" t="n">
        <v>1</v>
      </c>
      <c r="AC22" t="n">
        <v>1</v>
      </c>
      <c r="AD22" t="n">
        <v>5</v>
      </c>
      <c r="AE22" t="n">
        <v>5</v>
      </c>
      <c r="AF22" t="n">
        <v>1</v>
      </c>
      <c r="AG22" t="n">
        <v>1</v>
      </c>
      <c r="AH22" t="n">
        <v>1</v>
      </c>
      <c r="AI22" t="n">
        <v>1</v>
      </c>
      <c r="AJ22" t="n">
        <v>5</v>
      </c>
      <c r="AK22" t="n">
        <v>5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HYPERLINK("http://catalog.hathitrust.org/Record/004981375","HathiTrust Record")</f>
        <v/>
      </c>
      <c r="AS22">
        <f>HYPERLINK("https://creighton-primo.hosted.exlibrisgroup.com/primo-explore/search?tab=default_tab&amp;search_scope=EVERYTHING&amp;vid=01CRU&amp;lang=en_US&amp;offset=0&amp;query=any,contains,991005335469702656","Catalog Record")</f>
        <v/>
      </c>
      <c r="AT22">
        <f>HYPERLINK("http://www.worldcat.org/oclc/58448574","WorldCat Record")</f>
        <v/>
      </c>
      <c r="AU22" t="inlineStr">
        <is>
          <t>364446134:eng</t>
        </is>
      </c>
      <c r="AV22" t="inlineStr">
        <is>
          <t>58448574</t>
        </is>
      </c>
      <c r="AW22" t="inlineStr">
        <is>
          <t>991005335469702656</t>
        </is>
      </c>
      <c r="AX22" t="inlineStr">
        <is>
          <t>991005335469702656</t>
        </is>
      </c>
      <c r="AY22" t="inlineStr">
        <is>
          <t>2263177820002656</t>
        </is>
      </c>
      <c r="AZ22" t="inlineStr">
        <is>
          <t>BOOK</t>
        </is>
      </c>
      <c r="BB22" t="inlineStr">
        <is>
          <t>9780872931152</t>
        </is>
      </c>
      <c r="BC22" t="inlineStr">
        <is>
          <t>32285005545792</t>
        </is>
      </c>
      <c r="BD22" t="inlineStr">
        <is>
          <t>893713882</t>
        </is>
      </c>
    </row>
    <row r="23">
      <c r="A23" t="inlineStr">
        <is>
          <t>No</t>
        </is>
      </c>
      <c r="B23" t="inlineStr">
        <is>
          <t>HV11 .T745 2007</t>
        </is>
      </c>
      <c r="C23" t="inlineStr">
        <is>
          <t>0                      HV 0011000T  745         2007</t>
        </is>
      </c>
      <c r="D23" t="inlineStr">
        <is>
          <t>International social work research : issues and prospects / Tony Tripodi and Miriam Potocky-Tripodi.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Tripodi, Tony.</t>
        </is>
      </c>
      <c r="L23" t="inlineStr">
        <is>
          <t>Oxford ; New York : Oxford University Press, 2007.</t>
        </is>
      </c>
      <c r="M23" t="inlineStr">
        <is>
          <t>2007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HV </t>
        </is>
      </c>
      <c r="S23" t="n">
        <v>1</v>
      </c>
      <c r="T23" t="n">
        <v>1</v>
      </c>
      <c r="U23" t="inlineStr">
        <is>
          <t>2007-04-02</t>
        </is>
      </c>
      <c r="V23" t="inlineStr">
        <is>
          <t>2007-04-02</t>
        </is>
      </c>
      <c r="W23" t="inlineStr">
        <is>
          <t>2007-04-02</t>
        </is>
      </c>
      <c r="X23" t="inlineStr">
        <is>
          <t>2007-04-02</t>
        </is>
      </c>
      <c r="Y23" t="n">
        <v>241</v>
      </c>
      <c r="Z23" t="n">
        <v>188</v>
      </c>
      <c r="AA23" t="n">
        <v>620</v>
      </c>
      <c r="AB23" t="n">
        <v>2</v>
      </c>
      <c r="AC23" t="n">
        <v>13</v>
      </c>
      <c r="AD23" t="n">
        <v>11</v>
      </c>
      <c r="AE23" t="n">
        <v>25</v>
      </c>
      <c r="AF23" t="n">
        <v>4</v>
      </c>
      <c r="AG23" t="n">
        <v>6</v>
      </c>
      <c r="AH23" t="n">
        <v>2</v>
      </c>
      <c r="AI23" t="n">
        <v>6</v>
      </c>
      <c r="AJ23" t="n">
        <v>5</v>
      </c>
      <c r="AK23" t="n">
        <v>6</v>
      </c>
      <c r="AL23" t="n">
        <v>1</v>
      </c>
      <c r="AM23" t="n">
        <v>10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HYPERLINK("http://catalog.hathitrust.org/Record/005251549","HathiTrust Record")</f>
        <v/>
      </c>
      <c r="AS23">
        <f>HYPERLINK("https://creighton-primo.hosted.exlibrisgroup.com/primo-explore/search?tab=default_tab&amp;search_scope=EVERYTHING&amp;vid=01CRU&amp;lang=en_US&amp;offset=0&amp;query=any,contains,991005061389702656","Catalog Record")</f>
        <v/>
      </c>
      <c r="AT23">
        <f>HYPERLINK("http://www.worldcat.org/oclc/62697140","WorldCat Record")</f>
        <v/>
      </c>
      <c r="AU23" t="inlineStr">
        <is>
          <t>801817571:eng</t>
        </is>
      </c>
      <c r="AV23" t="inlineStr">
        <is>
          <t>62697140</t>
        </is>
      </c>
      <c r="AW23" t="inlineStr">
        <is>
          <t>991005061389702656</t>
        </is>
      </c>
      <c r="AX23" t="inlineStr">
        <is>
          <t>991005061389702656</t>
        </is>
      </c>
      <c r="AY23" t="inlineStr">
        <is>
          <t>2267063940002656</t>
        </is>
      </c>
      <c r="AZ23" t="inlineStr">
        <is>
          <t>BOOK</t>
        </is>
      </c>
      <c r="BB23" t="inlineStr">
        <is>
          <t>9780195187250</t>
        </is>
      </c>
      <c r="BC23" t="inlineStr">
        <is>
          <t>32285005284723</t>
        </is>
      </c>
      <c r="BD23" t="inlineStr">
        <is>
          <t>893344581</t>
        </is>
      </c>
    </row>
    <row r="24">
      <c r="A24" t="inlineStr">
        <is>
          <t>No</t>
        </is>
      </c>
      <c r="B24" t="inlineStr">
        <is>
          <t>HV11 .W478  2005</t>
        </is>
      </c>
      <c r="C24" t="inlineStr">
        <is>
          <t>0                      HV 0011000W  478         2005</t>
        </is>
      </c>
      <c r="D24" t="inlineStr">
        <is>
          <t>Planning and conducting agency-based research / Alex Westerfelt, Tracy J. Dietz.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Westerfelt, Alex.</t>
        </is>
      </c>
      <c r="L24" t="inlineStr">
        <is>
          <t>Boston : Pearson, c2005.</t>
        </is>
      </c>
      <c r="M24" t="inlineStr">
        <is>
          <t>2005</t>
        </is>
      </c>
      <c r="N24" t="inlineStr">
        <is>
          <t>3rd ed.</t>
        </is>
      </c>
      <c r="O24" t="inlineStr">
        <is>
          <t>eng</t>
        </is>
      </c>
      <c r="P24" t="inlineStr">
        <is>
          <t>mau</t>
        </is>
      </c>
      <c r="R24" t="inlineStr">
        <is>
          <t xml:space="preserve">HV </t>
        </is>
      </c>
      <c r="S24" t="n">
        <v>1</v>
      </c>
      <c r="T24" t="n">
        <v>1</v>
      </c>
      <c r="U24" t="inlineStr">
        <is>
          <t>2009-01-26</t>
        </is>
      </c>
      <c r="V24" t="inlineStr">
        <is>
          <t>2009-01-26</t>
        </is>
      </c>
      <c r="W24" t="inlineStr">
        <is>
          <t>2007-11-15</t>
        </is>
      </c>
      <c r="X24" t="inlineStr">
        <is>
          <t>2007-11-15</t>
        </is>
      </c>
      <c r="Y24" t="n">
        <v>61</v>
      </c>
      <c r="Z24" t="n">
        <v>49</v>
      </c>
      <c r="AA24" t="n">
        <v>178</v>
      </c>
      <c r="AB24" t="n">
        <v>2</v>
      </c>
      <c r="AC24" t="n">
        <v>2</v>
      </c>
      <c r="AD24" t="n">
        <v>5</v>
      </c>
      <c r="AE24" t="n">
        <v>8</v>
      </c>
      <c r="AF24" t="n">
        <v>1</v>
      </c>
      <c r="AG24" t="n">
        <v>1</v>
      </c>
      <c r="AH24" t="n">
        <v>0</v>
      </c>
      <c r="AI24" t="n">
        <v>1</v>
      </c>
      <c r="AJ24" t="n">
        <v>3</v>
      </c>
      <c r="AK24" t="n">
        <v>6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HYPERLINK("https://creighton-primo.hosted.exlibrisgroup.com/primo-explore/search?tab=default_tab&amp;search_scope=EVERYTHING&amp;vid=01CRU&amp;lang=en_US&amp;offset=0&amp;query=any,contains,991005147109702656","Catalog Record")</f>
        <v/>
      </c>
      <c r="AT24">
        <f>HYPERLINK("http://www.worldcat.org/oclc/56982737","WorldCat Record")</f>
        <v/>
      </c>
      <c r="AU24" t="inlineStr">
        <is>
          <t>425903:eng</t>
        </is>
      </c>
      <c r="AV24" t="inlineStr">
        <is>
          <t>56982737</t>
        </is>
      </c>
      <c r="AW24" t="inlineStr">
        <is>
          <t>991005147109702656</t>
        </is>
      </c>
      <c r="AX24" t="inlineStr">
        <is>
          <t>991005147109702656</t>
        </is>
      </c>
      <c r="AY24" t="inlineStr">
        <is>
          <t>2265322230002656</t>
        </is>
      </c>
      <c r="AZ24" t="inlineStr">
        <is>
          <t>BOOK</t>
        </is>
      </c>
      <c r="BB24" t="inlineStr">
        <is>
          <t>9780205386871</t>
        </is>
      </c>
      <c r="BC24" t="inlineStr">
        <is>
          <t>32285005367536</t>
        </is>
      </c>
      <c r="BD24" t="inlineStr">
        <is>
          <t>893248438</t>
        </is>
      </c>
    </row>
    <row r="25">
      <c r="A25" t="inlineStr">
        <is>
          <t>No</t>
        </is>
      </c>
      <c r="B25" t="inlineStr">
        <is>
          <t>HV11 .Y43 2006</t>
        </is>
      </c>
      <c r="C25" t="inlineStr">
        <is>
          <t>0                      HV 0011000Y  43          2006</t>
        </is>
      </c>
      <c r="D25" t="inlineStr">
        <is>
          <t>Research methods for social workers / Bonnie L. Yegidis, Robert W. Weinbach.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Yegidis, Bonnie L.</t>
        </is>
      </c>
      <c r="L25" t="inlineStr">
        <is>
          <t>Boston, Mass. : Pearson/Allyn and Bacon, 2006.</t>
        </is>
      </c>
      <c r="M25" t="inlineStr">
        <is>
          <t>2006</t>
        </is>
      </c>
      <c r="N25" t="inlineStr">
        <is>
          <t>5th ed.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HV </t>
        </is>
      </c>
      <c r="S25" t="n">
        <v>2</v>
      </c>
      <c r="T25" t="n">
        <v>2</v>
      </c>
      <c r="U25" t="inlineStr">
        <is>
          <t>2008-01-17</t>
        </is>
      </c>
      <c r="V25" t="inlineStr">
        <is>
          <t>2008-01-17</t>
        </is>
      </c>
      <c r="W25" t="inlineStr">
        <is>
          <t>2007-12-13</t>
        </is>
      </c>
      <c r="X25" t="inlineStr">
        <is>
          <t>2007-12-13</t>
        </is>
      </c>
      <c r="Y25" t="n">
        <v>99</v>
      </c>
      <c r="Z25" t="n">
        <v>67</v>
      </c>
      <c r="AA25" t="n">
        <v>349</v>
      </c>
      <c r="AB25" t="n">
        <v>1</v>
      </c>
      <c r="AC25" t="n">
        <v>2</v>
      </c>
      <c r="AD25" t="n">
        <v>1</v>
      </c>
      <c r="AE25" t="n">
        <v>14</v>
      </c>
      <c r="AF25" t="n">
        <v>0</v>
      </c>
      <c r="AG25" t="n">
        <v>3</v>
      </c>
      <c r="AH25" t="n">
        <v>0</v>
      </c>
      <c r="AI25" t="n">
        <v>4</v>
      </c>
      <c r="AJ25" t="n">
        <v>1</v>
      </c>
      <c r="AK25" t="n">
        <v>8</v>
      </c>
      <c r="AL25" t="n">
        <v>0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HYPERLINK("http://catalog.hathitrust.org/Record/005061312","HathiTrust Record")</f>
        <v/>
      </c>
      <c r="AS25">
        <f>HYPERLINK("https://creighton-primo.hosted.exlibrisgroup.com/primo-explore/search?tab=default_tab&amp;search_scope=EVERYTHING&amp;vid=01CRU&amp;lang=en_US&amp;offset=0&amp;query=any,contains,991005150649702656","Catalog Record")</f>
        <v/>
      </c>
      <c r="AT25">
        <f>HYPERLINK("http://www.worldcat.org/oclc/58451847","WorldCat Record")</f>
        <v/>
      </c>
      <c r="AU25" t="inlineStr">
        <is>
          <t>892856:eng</t>
        </is>
      </c>
      <c r="AV25" t="inlineStr">
        <is>
          <t>58451847</t>
        </is>
      </c>
      <c r="AW25" t="inlineStr">
        <is>
          <t>991005150649702656</t>
        </is>
      </c>
      <c r="AX25" t="inlineStr">
        <is>
          <t>991005150649702656</t>
        </is>
      </c>
      <c r="AY25" t="inlineStr">
        <is>
          <t>2268240610002656</t>
        </is>
      </c>
      <c r="AZ25" t="inlineStr">
        <is>
          <t>BOOK</t>
        </is>
      </c>
      <c r="BB25" t="inlineStr">
        <is>
          <t>9780205408184</t>
        </is>
      </c>
      <c r="BC25" t="inlineStr">
        <is>
          <t>32285005372718</t>
        </is>
      </c>
      <c r="BD25" t="inlineStr">
        <is>
          <t>893719872</t>
        </is>
      </c>
    </row>
    <row r="26">
      <c r="A26" t="inlineStr">
        <is>
          <t>No</t>
        </is>
      </c>
      <c r="B26" t="inlineStr">
        <is>
          <t>HV11.5 .S65 2000</t>
        </is>
      </c>
      <c r="C26" t="inlineStr">
        <is>
          <t>0                      HV 0011500S  65          2000</t>
        </is>
      </c>
      <c r="D26" t="inlineStr">
        <is>
          <t>Active learning exercises for social work and the human services / Cate Solomon.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Solomon, Cate.</t>
        </is>
      </c>
      <c r="L26" t="inlineStr">
        <is>
          <t>Boston : Allyn and Bacon, c2000.</t>
        </is>
      </c>
      <c r="M26" t="inlineStr">
        <is>
          <t>2000</t>
        </is>
      </c>
      <c r="O26" t="inlineStr">
        <is>
          <t>eng</t>
        </is>
      </c>
      <c r="P26" t="inlineStr">
        <is>
          <t>mau</t>
        </is>
      </c>
      <c r="R26" t="inlineStr">
        <is>
          <t xml:space="preserve">HV </t>
        </is>
      </c>
      <c r="S26" t="n">
        <v>3</v>
      </c>
      <c r="T26" t="n">
        <v>3</v>
      </c>
      <c r="U26" t="inlineStr">
        <is>
          <t>2002-02-27</t>
        </is>
      </c>
      <c r="V26" t="inlineStr">
        <is>
          <t>2002-02-27</t>
        </is>
      </c>
      <c r="W26" t="inlineStr">
        <is>
          <t>1999-11-02</t>
        </is>
      </c>
      <c r="X26" t="inlineStr">
        <is>
          <t>1999-11-02</t>
        </is>
      </c>
      <c r="Y26" t="n">
        <v>119</v>
      </c>
      <c r="Z26" t="n">
        <v>86</v>
      </c>
      <c r="AA26" t="n">
        <v>87</v>
      </c>
      <c r="AB26" t="n">
        <v>1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HYPERLINK("https://creighton-primo.hosted.exlibrisgroup.com/primo-explore/search?tab=default_tab&amp;search_scope=EVERYTHING&amp;vid=01CRU&amp;lang=en_US&amp;offset=0&amp;query=any,contains,991003046639702656","Catalog Record")</f>
        <v/>
      </c>
      <c r="AT26">
        <f>HYPERLINK("http://www.worldcat.org/oclc/42648108","WorldCat Record")</f>
        <v/>
      </c>
      <c r="AU26" t="inlineStr">
        <is>
          <t>2210801630:eng</t>
        </is>
      </c>
      <c r="AV26" t="inlineStr">
        <is>
          <t>42648108</t>
        </is>
      </c>
      <c r="AW26" t="inlineStr">
        <is>
          <t>991003046639702656</t>
        </is>
      </c>
      <c r="AX26" t="inlineStr">
        <is>
          <t>991003046639702656</t>
        </is>
      </c>
      <c r="AY26" t="inlineStr">
        <is>
          <t>2259884130002656</t>
        </is>
      </c>
      <c r="AZ26" t="inlineStr">
        <is>
          <t>BOOK</t>
        </is>
      </c>
      <c r="BB26" t="inlineStr">
        <is>
          <t>9780205284856</t>
        </is>
      </c>
      <c r="BC26" t="inlineStr">
        <is>
          <t>32285003617395</t>
        </is>
      </c>
      <c r="BD26" t="inlineStr">
        <is>
          <t>893409866</t>
        </is>
      </c>
    </row>
    <row r="27">
      <c r="A27" t="inlineStr">
        <is>
          <t>No</t>
        </is>
      </c>
      <c r="B27" t="inlineStr">
        <is>
          <t>HV11.5 .S86 2008</t>
        </is>
      </c>
      <c r="C27" t="inlineStr">
        <is>
          <t>0                      HV 0011500S  86          2008</t>
        </is>
      </c>
      <c r="D27" t="inlineStr">
        <is>
          <t>Fundamentals of case management practice : skills for the human services / Nancy Summers.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Summers, Nancy.</t>
        </is>
      </c>
      <c r="L27" t="inlineStr">
        <is>
          <t>Belmont, CA : Brooks/Cole, 2008.</t>
        </is>
      </c>
      <c r="M27" t="inlineStr">
        <is>
          <t>2008</t>
        </is>
      </c>
      <c r="N27" t="inlineStr">
        <is>
          <t>3rd ed.</t>
        </is>
      </c>
      <c r="O27" t="inlineStr">
        <is>
          <t>eng</t>
        </is>
      </c>
      <c r="P27" t="inlineStr">
        <is>
          <t>cau</t>
        </is>
      </c>
      <c r="R27" t="inlineStr">
        <is>
          <t xml:space="preserve">HV </t>
        </is>
      </c>
      <c r="S27" t="n">
        <v>1</v>
      </c>
      <c r="T27" t="n">
        <v>1</v>
      </c>
      <c r="U27" t="inlineStr">
        <is>
          <t>2010-01-08</t>
        </is>
      </c>
      <c r="V27" t="inlineStr">
        <is>
          <t>2010-01-08</t>
        </is>
      </c>
      <c r="W27" t="inlineStr">
        <is>
          <t>2008-08-13</t>
        </is>
      </c>
      <c r="X27" t="inlineStr">
        <is>
          <t>2008-08-13</t>
        </is>
      </c>
      <c r="Y27" t="n">
        <v>64</v>
      </c>
      <c r="Z27" t="n">
        <v>30</v>
      </c>
      <c r="AA27" t="n">
        <v>233</v>
      </c>
      <c r="AB27" t="n">
        <v>1</v>
      </c>
      <c r="AC27" t="n">
        <v>3</v>
      </c>
      <c r="AD27" t="n">
        <v>0</v>
      </c>
      <c r="AE27" t="n">
        <v>6</v>
      </c>
      <c r="AF27" t="n">
        <v>0</v>
      </c>
      <c r="AG27" t="n">
        <v>3</v>
      </c>
      <c r="AH27" t="n">
        <v>0</v>
      </c>
      <c r="AI27" t="n">
        <v>0</v>
      </c>
      <c r="AJ27" t="n">
        <v>0</v>
      </c>
      <c r="AK27" t="n">
        <v>2</v>
      </c>
      <c r="AL27" t="n">
        <v>0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HYPERLINK("https://creighton-primo.hosted.exlibrisgroup.com/primo-explore/search?tab=default_tab&amp;search_scope=EVERYTHING&amp;vid=01CRU&amp;lang=en_US&amp;offset=0&amp;query=any,contains,991005255659702656","Catalog Record")</f>
        <v/>
      </c>
      <c r="AT27">
        <f>HYPERLINK("http://www.worldcat.org/oclc/226389208","WorldCat Record")</f>
        <v/>
      </c>
      <c r="AU27" t="inlineStr">
        <is>
          <t>796385078:eng</t>
        </is>
      </c>
      <c r="AV27" t="inlineStr">
        <is>
          <t>226389208</t>
        </is>
      </c>
      <c r="AW27" t="inlineStr">
        <is>
          <t>991005255659702656</t>
        </is>
      </c>
      <c r="AX27" t="inlineStr">
        <is>
          <t>991005255659702656</t>
        </is>
      </c>
      <c r="AY27" t="inlineStr">
        <is>
          <t>2266248110002656</t>
        </is>
      </c>
      <c r="AZ27" t="inlineStr">
        <is>
          <t>BOOK</t>
        </is>
      </c>
      <c r="BB27" t="inlineStr">
        <is>
          <t>9780495501473</t>
        </is>
      </c>
      <c r="BC27" t="inlineStr">
        <is>
          <t>32285005453740</t>
        </is>
      </c>
      <c r="BD27" t="inlineStr">
        <is>
          <t>893236547</t>
        </is>
      </c>
    </row>
    <row r="28">
      <c r="A28" t="inlineStr">
        <is>
          <t>No</t>
        </is>
      </c>
      <c r="B28" t="inlineStr">
        <is>
          <t>HV11.7 .P49 2007</t>
        </is>
      </c>
      <c r="C28" t="inlineStr">
        <is>
          <t>0                      HV 0011700P  49          2007</t>
        </is>
      </c>
      <c r="D28" t="inlineStr">
        <is>
          <t>Challenging White privilege : critical discourse for social work education / Nocona Pewewardy.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Pewewardy, Nocona.</t>
        </is>
      </c>
      <c r="L28" t="inlineStr">
        <is>
          <t>Alexandria, Va. : Council on Social Work Education, c2007.</t>
        </is>
      </c>
      <c r="M28" t="inlineStr">
        <is>
          <t>2007</t>
        </is>
      </c>
      <c r="O28" t="inlineStr">
        <is>
          <t>eng</t>
        </is>
      </c>
      <c r="P28" t="inlineStr">
        <is>
          <t>vau</t>
        </is>
      </c>
      <c r="R28" t="inlineStr">
        <is>
          <t xml:space="preserve">HV </t>
        </is>
      </c>
      <c r="S28" t="n">
        <v>2</v>
      </c>
      <c r="T28" t="n">
        <v>2</v>
      </c>
      <c r="U28" t="inlineStr">
        <is>
          <t>2009-09-22</t>
        </is>
      </c>
      <c r="V28" t="inlineStr">
        <is>
          <t>2009-09-22</t>
        </is>
      </c>
      <c r="W28" t="inlineStr">
        <is>
          <t>2009-09-22</t>
        </is>
      </c>
      <c r="X28" t="inlineStr">
        <is>
          <t>2009-09-22</t>
        </is>
      </c>
      <c r="Y28" t="n">
        <v>129</v>
      </c>
      <c r="Z28" t="n">
        <v>110</v>
      </c>
      <c r="AA28" t="n">
        <v>111</v>
      </c>
      <c r="AB28" t="n">
        <v>4</v>
      </c>
      <c r="AC28" t="n">
        <v>4</v>
      </c>
      <c r="AD28" t="n">
        <v>4</v>
      </c>
      <c r="AE28" t="n">
        <v>4</v>
      </c>
      <c r="AF28" t="n">
        <v>0</v>
      </c>
      <c r="AG28" t="n">
        <v>0</v>
      </c>
      <c r="AH28" t="n">
        <v>1</v>
      </c>
      <c r="AI28" t="n">
        <v>1</v>
      </c>
      <c r="AJ28" t="n">
        <v>0</v>
      </c>
      <c r="AK28" t="n">
        <v>0</v>
      </c>
      <c r="AL28" t="n">
        <v>3</v>
      </c>
      <c r="AM28" t="n">
        <v>3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HYPERLINK("https://creighton-primo.hosted.exlibrisgroup.com/primo-explore/search?tab=default_tab&amp;search_scope=EVERYTHING&amp;vid=01CRU&amp;lang=en_US&amp;offset=0&amp;query=any,contains,991005335499702656","Catalog Record")</f>
        <v/>
      </c>
      <c r="AT28">
        <f>HYPERLINK("http://www.worldcat.org/oclc/85766086","WorldCat Record")</f>
        <v/>
      </c>
      <c r="AU28" t="inlineStr">
        <is>
          <t>69693583:eng</t>
        </is>
      </c>
      <c r="AV28" t="inlineStr">
        <is>
          <t>85766086</t>
        </is>
      </c>
      <c r="AW28" t="inlineStr">
        <is>
          <t>991005335499702656</t>
        </is>
      </c>
      <c r="AX28" t="inlineStr">
        <is>
          <t>991005335499702656</t>
        </is>
      </c>
      <c r="AY28" t="inlineStr">
        <is>
          <t>2263495200002656</t>
        </is>
      </c>
      <c r="AZ28" t="inlineStr">
        <is>
          <t>BOOK</t>
        </is>
      </c>
      <c r="BB28" t="inlineStr">
        <is>
          <t>9780872931275</t>
        </is>
      </c>
      <c r="BC28" t="inlineStr">
        <is>
          <t>32285005545032</t>
        </is>
      </c>
      <c r="BD28" t="inlineStr">
        <is>
          <t>893619809</t>
        </is>
      </c>
    </row>
    <row r="29">
      <c r="A29" t="inlineStr">
        <is>
          <t>No</t>
        </is>
      </c>
      <c r="B29" t="inlineStr">
        <is>
          <t>HV11.7 .S68 2006</t>
        </is>
      </c>
      <c r="C29" t="inlineStr">
        <is>
          <t>0                      HV 0011700S  68          2006</t>
        </is>
      </c>
      <c r="D29" t="inlineStr">
        <is>
          <t>Getting your MSW : how to survive and thrive in a social work program / Karen M. Sowers, Bruce A.Thyer.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Sowers, Karen M. (Karen Marlaine)</t>
        </is>
      </c>
      <c r="L29" t="inlineStr">
        <is>
          <t>Chicago, Ill. : Lyceum Books, c2006.</t>
        </is>
      </c>
      <c r="M29" t="inlineStr">
        <is>
          <t>2006</t>
        </is>
      </c>
      <c r="O29" t="inlineStr">
        <is>
          <t>eng</t>
        </is>
      </c>
      <c r="P29" t="inlineStr">
        <is>
          <t>ilu</t>
        </is>
      </c>
      <c r="R29" t="inlineStr">
        <is>
          <t xml:space="preserve">HV </t>
        </is>
      </c>
      <c r="S29" t="n">
        <v>1</v>
      </c>
      <c r="T29" t="n">
        <v>1</v>
      </c>
      <c r="U29" t="inlineStr">
        <is>
          <t>2006-01-26</t>
        </is>
      </c>
      <c r="V29" t="inlineStr">
        <is>
          <t>2006-01-26</t>
        </is>
      </c>
      <c r="W29" t="inlineStr">
        <is>
          <t>2006-01-26</t>
        </is>
      </c>
      <c r="X29" t="inlineStr">
        <is>
          <t>2006-01-26</t>
        </is>
      </c>
      <c r="Y29" t="n">
        <v>139</v>
      </c>
      <c r="Z29" t="n">
        <v>127</v>
      </c>
      <c r="AA29" t="n">
        <v>179</v>
      </c>
      <c r="AB29" t="n">
        <v>2</v>
      </c>
      <c r="AC29" t="n">
        <v>2</v>
      </c>
      <c r="AD29" t="n">
        <v>7</v>
      </c>
      <c r="AE29" t="n">
        <v>7</v>
      </c>
      <c r="AF29" t="n">
        <v>1</v>
      </c>
      <c r="AG29" t="n">
        <v>1</v>
      </c>
      <c r="AH29" t="n">
        <v>2</v>
      </c>
      <c r="AI29" t="n">
        <v>2</v>
      </c>
      <c r="AJ29" t="n">
        <v>4</v>
      </c>
      <c r="AK29" t="n">
        <v>4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HYPERLINK("https://creighton-primo.hosted.exlibrisgroup.com/primo-explore/search?tab=default_tab&amp;search_scope=EVERYTHING&amp;vid=01CRU&amp;lang=en_US&amp;offset=0&amp;query=any,contains,991004704929702656","Catalog Record")</f>
        <v/>
      </c>
      <c r="AT29">
        <f>HYPERLINK("http://www.worldcat.org/oclc/59011500","WorldCat Record")</f>
        <v/>
      </c>
      <c r="AU29" t="inlineStr">
        <is>
          <t>364485521:eng</t>
        </is>
      </c>
      <c r="AV29" t="inlineStr">
        <is>
          <t>59011500</t>
        </is>
      </c>
      <c r="AW29" t="inlineStr">
        <is>
          <t>991004704929702656</t>
        </is>
      </c>
      <c r="AX29" t="inlineStr">
        <is>
          <t>991004704929702656</t>
        </is>
      </c>
      <c r="AY29" t="inlineStr">
        <is>
          <t>2270324950002656</t>
        </is>
      </c>
      <c r="AZ29" t="inlineStr">
        <is>
          <t>BOOK</t>
        </is>
      </c>
      <c r="BB29" t="inlineStr">
        <is>
          <t>9780925065704</t>
        </is>
      </c>
      <c r="BC29" t="inlineStr">
        <is>
          <t>32285005156517</t>
        </is>
      </c>
      <c r="BD29" t="inlineStr">
        <is>
          <t>893612673</t>
        </is>
      </c>
    </row>
    <row r="30">
      <c r="A30" t="inlineStr">
        <is>
          <t>No</t>
        </is>
      </c>
      <c r="B30" t="inlineStr">
        <is>
          <t>HV11.7 .W665 2010</t>
        </is>
      </c>
      <c r="C30" t="inlineStr">
        <is>
          <t>0                      HV 0011700W  665         2010</t>
        </is>
      </c>
      <c r="D30" t="inlineStr">
        <is>
          <t>Women of color on the rise : leadership and administration in social work education and the academy / Halaevalu F. Ofahengaue Vakalahi and Wilma Peebles-Wilkins, editors.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Columbia University Press, c2010.</t>
        </is>
      </c>
      <c r="M30" t="inlineStr">
        <is>
          <t>2010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HV </t>
        </is>
      </c>
      <c r="S30" t="n">
        <v>1</v>
      </c>
      <c r="T30" t="n">
        <v>1</v>
      </c>
      <c r="U30" t="inlineStr">
        <is>
          <t>2010-04-12</t>
        </is>
      </c>
      <c r="V30" t="inlineStr">
        <is>
          <t>2010-04-12</t>
        </is>
      </c>
      <c r="W30" t="inlineStr">
        <is>
          <t>2010-04-12</t>
        </is>
      </c>
      <c r="X30" t="inlineStr">
        <is>
          <t>2010-04-12</t>
        </is>
      </c>
      <c r="Y30" t="n">
        <v>251</v>
      </c>
      <c r="Z30" t="n">
        <v>213</v>
      </c>
      <c r="AA30" t="n">
        <v>213</v>
      </c>
      <c r="AB30" t="n">
        <v>2</v>
      </c>
      <c r="AC30" t="n">
        <v>2</v>
      </c>
      <c r="AD30" t="n">
        <v>13</v>
      </c>
      <c r="AE30" t="n">
        <v>13</v>
      </c>
      <c r="AF30" t="n">
        <v>5</v>
      </c>
      <c r="AG30" t="n">
        <v>5</v>
      </c>
      <c r="AH30" t="n">
        <v>4</v>
      </c>
      <c r="AI30" t="n">
        <v>4</v>
      </c>
      <c r="AJ30" t="n">
        <v>6</v>
      </c>
      <c r="AK30" t="n">
        <v>6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HYPERLINK("https://creighton-primo.hosted.exlibrisgroup.com/primo-explore/search?tab=default_tab&amp;search_scope=EVERYTHING&amp;vid=01CRU&amp;lang=en_US&amp;offset=0&amp;query=any,contains,991005381819702656","Catalog Record")</f>
        <v/>
      </c>
      <c r="AT30">
        <f>HYPERLINK("http://www.worldcat.org/oclc/320798877","WorldCat Record")</f>
        <v/>
      </c>
      <c r="AU30" t="inlineStr">
        <is>
          <t>364938475:eng</t>
        </is>
      </c>
      <c r="AV30" t="inlineStr">
        <is>
          <t>320798877</t>
        </is>
      </c>
      <c r="AW30" t="inlineStr">
        <is>
          <t>991005381819702656</t>
        </is>
      </c>
      <c r="AX30" t="inlineStr">
        <is>
          <t>991005381819702656</t>
        </is>
      </c>
      <c r="AY30" t="inlineStr">
        <is>
          <t>2261071890002656</t>
        </is>
      </c>
      <c r="AZ30" t="inlineStr">
        <is>
          <t>BOOK</t>
        </is>
      </c>
      <c r="BB30" t="inlineStr">
        <is>
          <t>9780231144766</t>
        </is>
      </c>
      <c r="BC30" t="inlineStr">
        <is>
          <t>32285005562789</t>
        </is>
      </c>
      <c r="BD30" t="inlineStr">
        <is>
          <t>893418868</t>
        </is>
      </c>
    </row>
    <row r="31">
      <c r="A31" t="inlineStr">
        <is>
          <t>No</t>
        </is>
      </c>
      <c r="B31" t="inlineStr">
        <is>
          <t>HV1344.5.Z8 A334 2006</t>
        </is>
      </c>
      <c r="C31" t="inlineStr">
        <is>
          <t>0                      HV 1344500Z  8                  A  334         2006</t>
        </is>
      </c>
      <c r="D31" t="inlineStr">
        <is>
          <t>There is no me without you : one woman's odyssey to rescue Africa's children / Melissa Fay Greene.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Greene, Melissa Fay.</t>
        </is>
      </c>
      <c r="L31" t="inlineStr">
        <is>
          <t>New York : Bloomsbury : Distributed to the trade by Holtzbrinck, 2006.</t>
        </is>
      </c>
      <c r="M31" t="inlineStr">
        <is>
          <t>2006</t>
        </is>
      </c>
      <c r="N31" t="inlineStr">
        <is>
          <t>1st U.S.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HV </t>
        </is>
      </c>
      <c r="S31" t="n">
        <v>5</v>
      </c>
      <c r="T31" t="n">
        <v>5</v>
      </c>
      <c r="U31" t="inlineStr">
        <is>
          <t>2008-10-07</t>
        </is>
      </c>
      <c r="V31" t="inlineStr">
        <is>
          <t>2008-10-07</t>
        </is>
      </c>
      <c r="W31" t="inlineStr">
        <is>
          <t>2006-09-26</t>
        </is>
      </c>
      <c r="X31" t="inlineStr">
        <is>
          <t>2006-09-26</t>
        </is>
      </c>
      <c r="Y31" t="n">
        <v>1018</v>
      </c>
      <c r="Z31" t="n">
        <v>932</v>
      </c>
      <c r="AA31" t="n">
        <v>969</v>
      </c>
      <c r="AB31" t="n">
        <v>7</v>
      </c>
      <c r="AC31" t="n">
        <v>8</v>
      </c>
      <c r="AD31" t="n">
        <v>16</v>
      </c>
      <c r="AE31" t="n">
        <v>19</v>
      </c>
      <c r="AF31" t="n">
        <v>5</v>
      </c>
      <c r="AG31" t="n">
        <v>6</v>
      </c>
      <c r="AH31" t="n">
        <v>4</v>
      </c>
      <c r="AI31" t="n">
        <v>5</v>
      </c>
      <c r="AJ31" t="n">
        <v>8</v>
      </c>
      <c r="AK31" t="n">
        <v>8</v>
      </c>
      <c r="AL31" t="n">
        <v>2</v>
      </c>
      <c r="AM31" t="n">
        <v>3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HYPERLINK("http://catalog.hathitrust.org/Record/005283941","HathiTrust Record")</f>
        <v/>
      </c>
      <c r="AS31">
        <f>HYPERLINK("https://creighton-primo.hosted.exlibrisgroup.com/primo-explore/search?tab=default_tab&amp;search_scope=EVERYTHING&amp;vid=01CRU&amp;lang=en_US&amp;offset=0&amp;query=any,contains,991004905939702656","Catalog Record")</f>
        <v/>
      </c>
      <c r="AT31">
        <f>HYPERLINK("http://www.worldcat.org/oclc/67945340","WorldCat Record")</f>
        <v/>
      </c>
      <c r="AU31" t="inlineStr">
        <is>
          <t>51359856:eng</t>
        </is>
      </c>
      <c r="AV31" t="inlineStr">
        <is>
          <t>67945340</t>
        </is>
      </c>
      <c r="AW31" t="inlineStr">
        <is>
          <t>991004905939702656</t>
        </is>
      </c>
      <c r="AX31" t="inlineStr">
        <is>
          <t>991004905939702656</t>
        </is>
      </c>
      <c r="AY31" t="inlineStr">
        <is>
          <t>2262403770002656</t>
        </is>
      </c>
      <c r="AZ31" t="inlineStr">
        <is>
          <t>BOOK</t>
        </is>
      </c>
      <c r="BB31" t="inlineStr">
        <is>
          <t>9781596911161</t>
        </is>
      </c>
      <c r="BC31" t="inlineStr">
        <is>
          <t>32285005225163</t>
        </is>
      </c>
      <c r="BD31" t="inlineStr">
        <is>
          <t>893782793</t>
        </is>
      </c>
    </row>
    <row r="32">
      <c r="A32" t="inlineStr">
        <is>
          <t>No</t>
        </is>
      </c>
      <c r="B32" t="inlineStr">
        <is>
          <t>HV1421 .M35 2004</t>
        </is>
      </c>
      <c r="C32" t="inlineStr">
        <is>
          <t>0                      HV 1421000M  35          2004</t>
        </is>
      </c>
      <c r="D32" t="inlineStr">
        <is>
          <t>Group work with adolescents : principles and practice / Andrew Malekoff.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Malekoff, Andrew.</t>
        </is>
      </c>
      <c r="L32" t="inlineStr">
        <is>
          <t>New York : Guilford Press, c2004.</t>
        </is>
      </c>
      <c r="M32" t="inlineStr">
        <is>
          <t>2004</t>
        </is>
      </c>
      <c r="N32" t="inlineStr">
        <is>
          <t>2nd ed.</t>
        </is>
      </c>
      <c r="O32" t="inlineStr">
        <is>
          <t>eng</t>
        </is>
      </c>
      <c r="P32" t="inlineStr">
        <is>
          <t>nyu</t>
        </is>
      </c>
      <c r="Q32" t="inlineStr">
        <is>
          <t>Social work practice with children and families</t>
        </is>
      </c>
      <c r="R32" t="inlineStr">
        <is>
          <t xml:space="preserve">HV </t>
        </is>
      </c>
      <c r="S32" t="n">
        <v>1</v>
      </c>
      <c r="T32" t="n">
        <v>1</v>
      </c>
      <c r="U32" t="inlineStr">
        <is>
          <t>2004-11-02</t>
        </is>
      </c>
      <c r="V32" t="inlineStr">
        <is>
          <t>2004-11-02</t>
        </is>
      </c>
      <c r="W32" t="inlineStr">
        <is>
          <t>2004-11-02</t>
        </is>
      </c>
      <c r="X32" t="inlineStr">
        <is>
          <t>2004-11-02</t>
        </is>
      </c>
      <c r="Y32" t="n">
        <v>387</v>
      </c>
      <c r="Z32" t="n">
        <v>290</v>
      </c>
      <c r="AA32" t="n">
        <v>663</v>
      </c>
      <c r="AB32" t="n">
        <v>2</v>
      </c>
      <c r="AC32" t="n">
        <v>5</v>
      </c>
      <c r="AD32" t="n">
        <v>12</v>
      </c>
      <c r="AE32" t="n">
        <v>25</v>
      </c>
      <c r="AF32" t="n">
        <v>2</v>
      </c>
      <c r="AG32" t="n">
        <v>7</v>
      </c>
      <c r="AH32" t="n">
        <v>2</v>
      </c>
      <c r="AI32" t="n">
        <v>4</v>
      </c>
      <c r="AJ32" t="n">
        <v>9</v>
      </c>
      <c r="AK32" t="n">
        <v>13</v>
      </c>
      <c r="AL32" t="n">
        <v>1</v>
      </c>
      <c r="AM32" t="n">
        <v>4</v>
      </c>
      <c r="AN32" t="n">
        <v>0</v>
      </c>
      <c r="AO32" t="n">
        <v>1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HYPERLINK("https://creighton-primo.hosted.exlibrisgroup.com/primo-explore/search?tab=default_tab&amp;search_scope=EVERYTHING&amp;vid=01CRU&amp;lang=en_US&amp;offset=0&amp;query=any,contains,991004391539702656","Catalog Record")</f>
        <v/>
      </c>
      <c r="AT32">
        <f>HYPERLINK("http://www.worldcat.org/oclc/54966274","WorldCat Record")</f>
        <v/>
      </c>
      <c r="AU32" t="inlineStr">
        <is>
          <t>796386712:eng</t>
        </is>
      </c>
      <c r="AV32" t="inlineStr">
        <is>
          <t>54966274</t>
        </is>
      </c>
      <c r="AW32" t="inlineStr">
        <is>
          <t>991004391539702656</t>
        </is>
      </c>
      <c r="AX32" t="inlineStr">
        <is>
          <t>991004391539702656</t>
        </is>
      </c>
      <c r="AY32" t="inlineStr">
        <is>
          <t>2255313490002656</t>
        </is>
      </c>
      <c r="AZ32" t="inlineStr">
        <is>
          <t>BOOK</t>
        </is>
      </c>
      <c r="BB32" t="inlineStr">
        <is>
          <t>9781593850692</t>
        </is>
      </c>
      <c r="BC32" t="inlineStr">
        <is>
          <t>32285005008312</t>
        </is>
      </c>
      <c r="BD32" t="inlineStr">
        <is>
          <t>893718849</t>
        </is>
      </c>
    </row>
    <row r="33">
      <c r="A33" t="inlineStr">
        <is>
          <t>No</t>
        </is>
      </c>
      <c r="B33" t="inlineStr">
        <is>
          <t>HV1431 .A64 1999</t>
        </is>
      </c>
      <c r="C33" t="inlineStr">
        <is>
          <t>0                      HV 1431000A  64          1999</t>
        </is>
      </c>
      <c r="D33" t="inlineStr">
        <is>
          <t>America's disconnected youth : toward a preventive strategy / Douglas J. Besharov, editor.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Washington, DC : CWLA Press/American Enterprise Institute for Public Policy Research , c1999.</t>
        </is>
      </c>
      <c r="M33" t="inlineStr">
        <is>
          <t>1999</t>
        </is>
      </c>
      <c r="O33" t="inlineStr">
        <is>
          <t>eng</t>
        </is>
      </c>
      <c r="P33" t="inlineStr">
        <is>
          <t>dcu</t>
        </is>
      </c>
      <c r="R33" t="inlineStr">
        <is>
          <t xml:space="preserve">HV </t>
        </is>
      </c>
      <c r="S33" t="n">
        <v>7</v>
      </c>
      <c r="T33" t="n">
        <v>7</v>
      </c>
      <c r="U33" t="inlineStr">
        <is>
          <t>2003-02-26</t>
        </is>
      </c>
      <c r="V33" t="inlineStr">
        <is>
          <t>2003-02-26</t>
        </is>
      </c>
      <c r="W33" t="inlineStr">
        <is>
          <t>1999-10-26</t>
        </is>
      </c>
      <c r="X33" t="inlineStr">
        <is>
          <t>1999-10-26</t>
        </is>
      </c>
      <c r="Y33" t="n">
        <v>207</v>
      </c>
      <c r="Z33" t="n">
        <v>189</v>
      </c>
      <c r="AA33" t="n">
        <v>197</v>
      </c>
      <c r="AB33" t="n">
        <v>3</v>
      </c>
      <c r="AC33" t="n">
        <v>3</v>
      </c>
      <c r="AD33" t="n">
        <v>4</v>
      </c>
      <c r="AE33" t="n">
        <v>4</v>
      </c>
      <c r="AF33" t="n">
        <v>2</v>
      </c>
      <c r="AG33" t="n">
        <v>2</v>
      </c>
      <c r="AH33" t="n">
        <v>0</v>
      </c>
      <c r="AI33" t="n">
        <v>0</v>
      </c>
      <c r="AJ33" t="n">
        <v>2</v>
      </c>
      <c r="AK33" t="n">
        <v>2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HYPERLINK("http://catalog.hathitrust.org/Record/004075189","HathiTrust Record")</f>
        <v/>
      </c>
      <c r="AS33">
        <f>HYPERLINK("https://creighton-primo.hosted.exlibrisgroup.com/primo-explore/search?tab=default_tab&amp;search_scope=EVERYTHING&amp;vid=01CRU&amp;lang=en_US&amp;offset=0&amp;query=any,contains,991003014919702656","Catalog Record")</f>
        <v/>
      </c>
      <c r="AT33">
        <f>HYPERLINK("http://www.worldcat.org/oclc/40990127","WorldCat Record")</f>
        <v/>
      </c>
      <c r="AU33" t="inlineStr">
        <is>
          <t>476427412:eng</t>
        </is>
      </c>
      <c r="AV33" t="inlineStr">
        <is>
          <t>40990127</t>
        </is>
      </c>
      <c r="AW33" t="inlineStr">
        <is>
          <t>991003014919702656</t>
        </is>
      </c>
      <c r="AX33" t="inlineStr">
        <is>
          <t>991003014919702656</t>
        </is>
      </c>
      <c r="AY33" t="inlineStr">
        <is>
          <t>2272315700002656</t>
        </is>
      </c>
      <c r="AZ33" t="inlineStr">
        <is>
          <t>BOOK</t>
        </is>
      </c>
      <c r="BB33" t="inlineStr">
        <is>
          <t>9780878687565</t>
        </is>
      </c>
      <c r="BC33" t="inlineStr">
        <is>
          <t>32285003613733</t>
        </is>
      </c>
      <c r="BD33" t="inlineStr">
        <is>
          <t>893530766</t>
        </is>
      </c>
    </row>
    <row r="34">
      <c r="A34" t="inlineStr">
        <is>
          <t>No</t>
        </is>
      </c>
      <c r="B34" t="inlineStr">
        <is>
          <t>HV1431 .B7 1990</t>
        </is>
      </c>
      <c r="C34" t="inlineStr">
        <is>
          <t>0                      HV 1431000B  7           1990</t>
        </is>
      </c>
      <c r="D34" t="inlineStr">
        <is>
          <t>Reclaiming youth at risk : our hope for the future / Larry K. Brendtro, Martin Brokenleg, Steve Van Bockern.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Brendtro, Larry K.</t>
        </is>
      </c>
      <c r="L34" t="inlineStr">
        <is>
          <t>Bloomington, Ind. : National Educational Service, c1990.</t>
        </is>
      </c>
      <c r="M34" t="inlineStr">
        <is>
          <t>1990</t>
        </is>
      </c>
      <c r="O34" t="inlineStr">
        <is>
          <t>eng</t>
        </is>
      </c>
      <c r="P34" t="inlineStr">
        <is>
          <t>inu</t>
        </is>
      </c>
      <c r="R34" t="inlineStr">
        <is>
          <t xml:space="preserve">HV </t>
        </is>
      </c>
      <c r="S34" t="n">
        <v>10</v>
      </c>
      <c r="T34" t="n">
        <v>10</v>
      </c>
      <c r="U34" t="inlineStr">
        <is>
          <t>2006-06-23</t>
        </is>
      </c>
      <c r="V34" t="inlineStr">
        <is>
          <t>2006-06-23</t>
        </is>
      </c>
      <c r="W34" t="inlineStr">
        <is>
          <t>1990-11-13</t>
        </is>
      </c>
      <c r="X34" t="inlineStr">
        <is>
          <t>1990-11-13</t>
        </is>
      </c>
      <c r="Y34" t="n">
        <v>501</v>
      </c>
      <c r="Z34" t="n">
        <v>445</v>
      </c>
      <c r="AA34" t="n">
        <v>597</v>
      </c>
      <c r="AB34" t="n">
        <v>5</v>
      </c>
      <c r="AC34" t="n">
        <v>9</v>
      </c>
      <c r="AD34" t="n">
        <v>22</v>
      </c>
      <c r="AE34" t="n">
        <v>27</v>
      </c>
      <c r="AF34" t="n">
        <v>13</v>
      </c>
      <c r="AG34" t="n">
        <v>13</v>
      </c>
      <c r="AH34" t="n">
        <v>3</v>
      </c>
      <c r="AI34" t="n">
        <v>3</v>
      </c>
      <c r="AJ34" t="n">
        <v>11</v>
      </c>
      <c r="AK34" t="n">
        <v>12</v>
      </c>
      <c r="AL34" t="n">
        <v>2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HYPERLINK("http://catalog.hathitrust.org/Record/002450110","HathiTrust Record")</f>
        <v/>
      </c>
      <c r="AS34">
        <f>HYPERLINK("https://creighton-primo.hosted.exlibrisgroup.com/primo-explore/search?tab=default_tab&amp;search_scope=EVERYTHING&amp;vid=01CRU&amp;lang=en_US&amp;offset=0&amp;query=any,contains,991001739619702656","Catalog Record")</f>
        <v/>
      </c>
      <c r="AT34">
        <f>HYPERLINK("http://www.worldcat.org/oclc/21981645","WorldCat Record")</f>
        <v/>
      </c>
      <c r="AU34" t="inlineStr">
        <is>
          <t>23504246:eng</t>
        </is>
      </c>
      <c r="AV34" t="inlineStr">
        <is>
          <t>21981645</t>
        </is>
      </c>
      <c r="AW34" t="inlineStr">
        <is>
          <t>991001739619702656</t>
        </is>
      </c>
      <c r="AX34" t="inlineStr">
        <is>
          <t>991001739619702656</t>
        </is>
      </c>
      <c r="AY34" t="inlineStr">
        <is>
          <t>2266911070002656</t>
        </is>
      </c>
      <c r="AZ34" t="inlineStr">
        <is>
          <t>BOOK</t>
        </is>
      </c>
      <c r="BC34" t="inlineStr">
        <is>
          <t>32285000315001</t>
        </is>
      </c>
      <c r="BD34" t="inlineStr">
        <is>
          <t>893715671</t>
        </is>
      </c>
    </row>
    <row r="35">
      <c r="A35" t="inlineStr">
        <is>
          <t>No</t>
        </is>
      </c>
      <c r="B35" t="inlineStr">
        <is>
          <t>HV1431 .B84 1998</t>
        </is>
      </c>
      <c r="C35" t="inlineStr">
        <is>
          <t>0                      HV 1431000B  84          1998</t>
        </is>
      </c>
      <c r="D35" t="inlineStr">
        <is>
          <t>Building supportive communities for at-risk adolescents : it takes more than services / Martha R. Burt, Gary Resnick, Emily R. Novick.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Burt, Martha R.</t>
        </is>
      </c>
      <c r="L35" t="inlineStr">
        <is>
          <t>Washington, D.C. : American Psychological Association, c1998.</t>
        </is>
      </c>
      <c r="M35" t="inlineStr">
        <is>
          <t>1998</t>
        </is>
      </c>
      <c r="N35" t="inlineStr">
        <is>
          <t>1st ed.</t>
        </is>
      </c>
      <c r="O35" t="inlineStr">
        <is>
          <t>eng</t>
        </is>
      </c>
      <c r="P35" t="inlineStr">
        <is>
          <t>dcu</t>
        </is>
      </c>
      <c r="R35" t="inlineStr">
        <is>
          <t xml:space="preserve">HV </t>
        </is>
      </c>
      <c r="S35" t="n">
        <v>3</v>
      </c>
      <c r="T35" t="n">
        <v>3</v>
      </c>
      <c r="U35" t="inlineStr">
        <is>
          <t>2003-11-07</t>
        </is>
      </c>
      <c r="V35" t="inlineStr">
        <is>
          <t>2003-11-07</t>
        </is>
      </c>
      <c r="W35" t="inlineStr">
        <is>
          <t>1998-07-21</t>
        </is>
      </c>
      <c r="X35" t="inlineStr">
        <is>
          <t>1998-07-21</t>
        </is>
      </c>
      <c r="Y35" t="n">
        <v>462</v>
      </c>
      <c r="Z35" t="n">
        <v>377</v>
      </c>
      <c r="AA35" t="n">
        <v>452</v>
      </c>
      <c r="AB35" t="n">
        <v>3</v>
      </c>
      <c r="AC35" t="n">
        <v>4</v>
      </c>
      <c r="AD35" t="n">
        <v>14</v>
      </c>
      <c r="AE35" t="n">
        <v>20</v>
      </c>
      <c r="AF35" t="n">
        <v>4</v>
      </c>
      <c r="AG35" t="n">
        <v>6</v>
      </c>
      <c r="AH35" t="n">
        <v>4</v>
      </c>
      <c r="AI35" t="n">
        <v>4</v>
      </c>
      <c r="AJ35" t="n">
        <v>8</v>
      </c>
      <c r="AK35" t="n">
        <v>11</v>
      </c>
      <c r="AL35" t="n">
        <v>2</v>
      </c>
      <c r="AM35" t="n">
        <v>3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HYPERLINK("https://creighton-primo.hosted.exlibrisgroup.com/primo-explore/search?tab=default_tab&amp;search_scope=EVERYTHING&amp;vid=01CRU&amp;lang=en_US&amp;offset=0&amp;query=any,contains,991002867559702656","Catalog Record")</f>
        <v/>
      </c>
      <c r="AT35">
        <f>HYPERLINK("http://www.worldcat.org/oclc/37806044","WorldCat Record")</f>
        <v/>
      </c>
      <c r="AU35" t="inlineStr">
        <is>
          <t>668218:eng</t>
        </is>
      </c>
      <c r="AV35" t="inlineStr">
        <is>
          <t>37806044</t>
        </is>
      </c>
      <c r="AW35" t="inlineStr">
        <is>
          <t>991002867559702656</t>
        </is>
      </c>
      <c r="AX35" t="inlineStr">
        <is>
          <t>991002867559702656</t>
        </is>
      </c>
      <c r="AY35" t="inlineStr">
        <is>
          <t>2259268640002656</t>
        </is>
      </c>
      <c r="AZ35" t="inlineStr">
        <is>
          <t>BOOK</t>
        </is>
      </c>
      <c r="BB35" t="inlineStr">
        <is>
          <t>9781557984661</t>
        </is>
      </c>
      <c r="BC35" t="inlineStr">
        <is>
          <t>32285003433827</t>
        </is>
      </c>
      <c r="BD35" t="inlineStr">
        <is>
          <t>893893100</t>
        </is>
      </c>
    </row>
    <row r="36">
      <c r="A36" t="inlineStr">
        <is>
          <t>No</t>
        </is>
      </c>
      <c r="B36" t="inlineStr">
        <is>
          <t>HV1431 .E25 1993</t>
        </is>
      </c>
      <c r="C36" t="inlineStr">
        <is>
          <t>0                      HV 1431000E  25          1993</t>
        </is>
      </c>
      <c r="D36" t="inlineStr">
        <is>
          <t>Early adolescence : perspectives on research, policy, and intervention / edited by Richard M. Lerner.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Hillsdale, N.J. : Lawrence, 1993.</t>
        </is>
      </c>
      <c r="M36" t="inlineStr">
        <is>
          <t>1993</t>
        </is>
      </c>
      <c r="O36" t="inlineStr">
        <is>
          <t>eng</t>
        </is>
      </c>
      <c r="P36" t="inlineStr">
        <is>
          <t>nju</t>
        </is>
      </c>
      <c r="Q36" t="inlineStr">
        <is>
          <t>The Penn State series on child &amp; adolescent development</t>
        </is>
      </c>
      <c r="R36" t="inlineStr">
        <is>
          <t xml:space="preserve">HV </t>
        </is>
      </c>
      <c r="S36" t="n">
        <v>13</v>
      </c>
      <c r="T36" t="n">
        <v>13</v>
      </c>
      <c r="U36" t="inlineStr">
        <is>
          <t>1999-06-20</t>
        </is>
      </c>
      <c r="V36" t="inlineStr">
        <is>
          <t>1999-06-20</t>
        </is>
      </c>
      <c r="W36" t="inlineStr">
        <is>
          <t>1994-11-22</t>
        </is>
      </c>
      <c r="X36" t="inlineStr">
        <is>
          <t>1994-11-22</t>
        </is>
      </c>
      <c r="Y36" t="n">
        <v>282</v>
      </c>
      <c r="Z36" t="n">
        <v>230</v>
      </c>
      <c r="AA36" t="n">
        <v>246</v>
      </c>
      <c r="AB36" t="n">
        <v>3</v>
      </c>
      <c r="AC36" t="n">
        <v>3</v>
      </c>
      <c r="AD36" t="n">
        <v>15</v>
      </c>
      <c r="AE36" t="n">
        <v>15</v>
      </c>
      <c r="AF36" t="n">
        <v>4</v>
      </c>
      <c r="AG36" t="n">
        <v>4</v>
      </c>
      <c r="AH36" t="n">
        <v>4</v>
      </c>
      <c r="AI36" t="n">
        <v>4</v>
      </c>
      <c r="AJ36" t="n">
        <v>8</v>
      </c>
      <c r="AK36" t="n">
        <v>8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HYPERLINK("https://creighton-primo.hosted.exlibrisgroup.com/primo-explore/search?tab=default_tab&amp;search_scope=EVERYTHING&amp;vid=01CRU&amp;lang=en_US&amp;offset=0&amp;query=any,contains,991002118729702656","Catalog Record")</f>
        <v/>
      </c>
      <c r="AT36">
        <f>HYPERLINK("http://www.worldcat.org/oclc/27149832","WorldCat Record")</f>
        <v/>
      </c>
      <c r="AU36" t="inlineStr">
        <is>
          <t>890162034:eng</t>
        </is>
      </c>
      <c r="AV36" t="inlineStr">
        <is>
          <t>27149832</t>
        </is>
      </c>
      <c r="AW36" t="inlineStr">
        <is>
          <t>991002118729702656</t>
        </is>
      </c>
      <c r="AX36" t="inlineStr">
        <is>
          <t>991002118729702656</t>
        </is>
      </c>
      <c r="AY36" t="inlineStr">
        <is>
          <t>2259284670002656</t>
        </is>
      </c>
      <c r="AZ36" t="inlineStr">
        <is>
          <t>BOOK</t>
        </is>
      </c>
      <c r="BB36" t="inlineStr">
        <is>
          <t>9780805811643</t>
        </is>
      </c>
      <c r="BC36" t="inlineStr">
        <is>
          <t>32285001959484</t>
        </is>
      </c>
      <c r="BD36" t="inlineStr">
        <is>
          <t>893444978</t>
        </is>
      </c>
    </row>
    <row r="37">
      <c r="A37" t="inlineStr">
        <is>
          <t>No</t>
        </is>
      </c>
      <c r="B37" t="inlineStr">
        <is>
          <t>HV1431 .M37 2003</t>
        </is>
      </c>
      <c r="C37" t="inlineStr">
        <is>
          <t>0                      HV 1431000M  37          2003</t>
        </is>
      </c>
      <c r="D37" t="inlineStr">
        <is>
          <t>Uncertain futures : foster youth in transition to adulthood / by Edmund V. Mech ; with contributions from Hewitt B. Clark ... [et al.].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Mech, Edmund V.</t>
        </is>
      </c>
      <c r="L37" t="inlineStr">
        <is>
          <t>Washington, DC : CWLA Press, c2003.</t>
        </is>
      </c>
      <c r="M37" t="inlineStr">
        <is>
          <t>2003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HV </t>
        </is>
      </c>
      <c r="S37" t="n">
        <v>1</v>
      </c>
      <c r="T37" t="n">
        <v>1</v>
      </c>
      <c r="U37" t="inlineStr">
        <is>
          <t>2004-04-19</t>
        </is>
      </c>
      <c r="V37" t="inlineStr">
        <is>
          <t>2004-04-19</t>
        </is>
      </c>
      <c r="W37" t="inlineStr">
        <is>
          <t>2004-04-19</t>
        </is>
      </c>
      <c r="X37" t="inlineStr">
        <is>
          <t>2004-04-19</t>
        </is>
      </c>
      <c r="Y37" t="n">
        <v>165</v>
      </c>
      <c r="Z37" t="n">
        <v>150</v>
      </c>
      <c r="AA37" t="n">
        <v>152</v>
      </c>
      <c r="AB37" t="n">
        <v>3</v>
      </c>
      <c r="AC37" t="n">
        <v>3</v>
      </c>
      <c r="AD37" t="n">
        <v>9</v>
      </c>
      <c r="AE37" t="n">
        <v>9</v>
      </c>
      <c r="AF37" t="n">
        <v>3</v>
      </c>
      <c r="AG37" t="n">
        <v>3</v>
      </c>
      <c r="AH37" t="n">
        <v>2</v>
      </c>
      <c r="AI37" t="n">
        <v>2</v>
      </c>
      <c r="AJ37" t="n">
        <v>3</v>
      </c>
      <c r="AK37" t="n">
        <v>3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HYPERLINK("http://catalog.hathitrust.org/Record/004348870","HathiTrust Record")</f>
        <v/>
      </c>
      <c r="AS37">
        <f>HYPERLINK("https://creighton-primo.hosted.exlibrisgroup.com/primo-explore/search?tab=default_tab&amp;search_scope=EVERYTHING&amp;vid=01CRU&amp;lang=en_US&amp;offset=0&amp;query=any,contains,991004263239702656","Catalog Record")</f>
        <v/>
      </c>
      <c r="AT37">
        <f>HYPERLINK("http://www.worldcat.org/oclc/50898407","WorldCat Record")</f>
        <v/>
      </c>
      <c r="AU37" t="inlineStr">
        <is>
          <t>732647:eng</t>
        </is>
      </c>
      <c r="AV37" t="inlineStr">
        <is>
          <t>50898407</t>
        </is>
      </c>
      <c r="AW37" t="inlineStr">
        <is>
          <t>991004263239702656</t>
        </is>
      </c>
      <c r="AX37" t="inlineStr">
        <is>
          <t>991004263239702656</t>
        </is>
      </c>
      <c r="AY37" t="inlineStr">
        <is>
          <t>2259967100002656</t>
        </is>
      </c>
      <c r="AZ37" t="inlineStr">
        <is>
          <t>BOOK</t>
        </is>
      </c>
      <c r="BB37" t="inlineStr">
        <is>
          <t>9780878688692</t>
        </is>
      </c>
      <c r="BC37" t="inlineStr">
        <is>
          <t>32285004900139</t>
        </is>
      </c>
      <c r="BD37" t="inlineStr">
        <is>
          <t>893782040</t>
        </is>
      </c>
    </row>
    <row r="38">
      <c r="A38" t="inlineStr">
        <is>
          <t>No</t>
        </is>
      </c>
      <c r="B38" t="inlineStr">
        <is>
          <t>HV1431 .S54 2004</t>
        </is>
      </c>
      <c r="C38" t="inlineStr">
        <is>
          <t>0                      HV 1431000S  54          2004</t>
        </is>
      </c>
      <c r="D38" t="inlineStr">
        <is>
          <t>Our runaway and homeless youth : a guide to understanding / Natasha Slesnick.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Slesnick, Natasha, 1966-</t>
        </is>
      </c>
      <c r="L38" t="inlineStr">
        <is>
          <t>Westport, CT : Praeger, 2004.</t>
        </is>
      </c>
      <c r="M38" t="inlineStr">
        <is>
          <t>2004</t>
        </is>
      </c>
      <c r="O38" t="inlineStr">
        <is>
          <t>eng</t>
        </is>
      </c>
      <c r="P38" t="inlineStr">
        <is>
          <t>ctu</t>
        </is>
      </c>
      <c r="R38" t="inlineStr">
        <is>
          <t xml:space="preserve">HV </t>
        </is>
      </c>
      <c r="S38" t="n">
        <v>3</v>
      </c>
      <c r="T38" t="n">
        <v>3</v>
      </c>
      <c r="U38" t="inlineStr">
        <is>
          <t>2008-09-25</t>
        </is>
      </c>
      <c r="V38" t="inlineStr">
        <is>
          <t>2008-09-25</t>
        </is>
      </c>
      <c r="W38" t="inlineStr">
        <is>
          <t>2004-08-30</t>
        </is>
      </c>
      <c r="X38" t="inlineStr">
        <is>
          <t>2004-08-30</t>
        </is>
      </c>
      <c r="Y38" t="n">
        <v>453</v>
      </c>
      <c r="Z38" t="n">
        <v>403</v>
      </c>
      <c r="AA38" t="n">
        <v>1047</v>
      </c>
      <c r="AB38" t="n">
        <v>4</v>
      </c>
      <c r="AC38" t="n">
        <v>9</v>
      </c>
      <c r="AD38" t="n">
        <v>12</v>
      </c>
      <c r="AE38" t="n">
        <v>35</v>
      </c>
      <c r="AF38" t="n">
        <v>3</v>
      </c>
      <c r="AG38" t="n">
        <v>12</v>
      </c>
      <c r="AH38" t="n">
        <v>3</v>
      </c>
      <c r="AI38" t="n">
        <v>8</v>
      </c>
      <c r="AJ38" t="n">
        <v>5</v>
      </c>
      <c r="AK38" t="n">
        <v>11</v>
      </c>
      <c r="AL38" t="n">
        <v>3</v>
      </c>
      <c r="AM38" t="n">
        <v>8</v>
      </c>
      <c r="AN38" t="n">
        <v>0</v>
      </c>
      <c r="AO38" t="n">
        <v>1</v>
      </c>
      <c r="AP38" t="inlineStr">
        <is>
          <t>No</t>
        </is>
      </c>
      <c r="AQ38" t="inlineStr">
        <is>
          <t>Yes</t>
        </is>
      </c>
      <c r="AR38">
        <f>HYPERLINK("http://catalog.hathitrust.org/Record/004729817","HathiTrust Record")</f>
        <v/>
      </c>
      <c r="AS38">
        <f>HYPERLINK("https://creighton-primo.hosted.exlibrisgroup.com/primo-explore/search?tab=default_tab&amp;search_scope=EVERYTHING&amp;vid=01CRU&amp;lang=en_US&amp;offset=0&amp;query=any,contains,991004330369702656","Catalog Record")</f>
        <v/>
      </c>
      <c r="AT38">
        <f>HYPERLINK("http://www.worldcat.org/oclc/54365208","WorldCat Record")</f>
        <v/>
      </c>
      <c r="AU38" t="inlineStr">
        <is>
          <t>797250797:eng</t>
        </is>
      </c>
      <c r="AV38" t="inlineStr">
        <is>
          <t>54365208</t>
        </is>
      </c>
      <c r="AW38" t="inlineStr">
        <is>
          <t>991004330369702656</t>
        </is>
      </c>
      <c r="AX38" t="inlineStr">
        <is>
          <t>991004330369702656</t>
        </is>
      </c>
      <c r="AY38" t="inlineStr">
        <is>
          <t>2258121370002656</t>
        </is>
      </c>
      <c r="AZ38" t="inlineStr">
        <is>
          <t>BOOK</t>
        </is>
      </c>
      <c r="BB38" t="inlineStr">
        <is>
          <t>9780275979942</t>
        </is>
      </c>
      <c r="BC38" t="inlineStr">
        <is>
          <t>32285004983846</t>
        </is>
      </c>
      <c r="BD38" t="inlineStr">
        <is>
          <t>893693812</t>
        </is>
      </c>
    </row>
    <row r="39">
      <c r="A39" t="inlineStr">
        <is>
          <t>No</t>
        </is>
      </c>
      <c r="B39" t="inlineStr">
        <is>
          <t>HV1431 .S97 2006</t>
        </is>
      </c>
      <c r="C39" t="inlineStr">
        <is>
          <t>0                      HV 1431000S  97          2006</t>
        </is>
      </c>
      <c r="D39" t="inlineStr">
        <is>
          <t>Help at any cost : how the troubled-teen industry cons parents and hurts kids / Maia Szalavitz.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Szalavitz, Maia.</t>
        </is>
      </c>
      <c r="L39" t="inlineStr">
        <is>
          <t>New York : Riverhead, 2006.</t>
        </is>
      </c>
      <c r="M39" t="inlineStr">
        <is>
          <t>2006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HV </t>
        </is>
      </c>
      <c r="S39" t="n">
        <v>1</v>
      </c>
      <c r="T39" t="n">
        <v>1</v>
      </c>
      <c r="U39" t="inlineStr">
        <is>
          <t>2006-04-26</t>
        </is>
      </c>
      <c r="V39" t="inlineStr">
        <is>
          <t>2006-04-26</t>
        </is>
      </c>
      <c r="W39" t="inlineStr">
        <is>
          <t>2006-04-26</t>
        </is>
      </c>
      <c r="X39" t="inlineStr">
        <is>
          <t>2006-04-26</t>
        </is>
      </c>
      <c r="Y39" t="n">
        <v>687</v>
      </c>
      <c r="Z39" t="n">
        <v>650</v>
      </c>
      <c r="AA39" t="n">
        <v>661</v>
      </c>
      <c r="AB39" t="n">
        <v>5</v>
      </c>
      <c r="AC39" t="n">
        <v>5</v>
      </c>
      <c r="AD39" t="n">
        <v>12</v>
      </c>
      <c r="AE39" t="n">
        <v>12</v>
      </c>
      <c r="AF39" t="n">
        <v>2</v>
      </c>
      <c r="AG39" t="n">
        <v>2</v>
      </c>
      <c r="AH39" t="n">
        <v>4</v>
      </c>
      <c r="AI39" t="n">
        <v>4</v>
      </c>
      <c r="AJ39" t="n">
        <v>5</v>
      </c>
      <c r="AK39" t="n">
        <v>5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HYPERLINK("http://catalog.hathitrust.org/Record/005136000","HathiTrust Record")</f>
        <v/>
      </c>
      <c r="AS39">
        <f>HYPERLINK("https://creighton-primo.hosted.exlibrisgroup.com/primo-explore/search?tab=default_tab&amp;search_scope=EVERYTHING&amp;vid=01CRU&amp;lang=en_US&amp;offset=0&amp;query=any,contains,991004800049702656","Catalog Record")</f>
        <v/>
      </c>
      <c r="AT39">
        <f>HYPERLINK("http://www.worldcat.org/oclc/61169844","WorldCat Record")</f>
        <v/>
      </c>
      <c r="AU39" t="inlineStr">
        <is>
          <t>974023:eng</t>
        </is>
      </c>
      <c r="AV39" t="inlineStr">
        <is>
          <t>61169844</t>
        </is>
      </c>
      <c r="AW39" t="inlineStr">
        <is>
          <t>991004800049702656</t>
        </is>
      </c>
      <c r="AX39" t="inlineStr">
        <is>
          <t>991004800049702656</t>
        </is>
      </c>
      <c r="AY39" t="inlineStr">
        <is>
          <t>2266233850002656</t>
        </is>
      </c>
      <c r="AZ39" t="inlineStr">
        <is>
          <t>BOOK</t>
        </is>
      </c>
      <c r="BB39" t="inlineStr">
        <is>
          <t>9781594489105</t>
        </is>
      </c>
      <c r="BC39" t="inlineStr">
        <is>
          <t>32285005182927</t>
        </is>
      </c>
      <c r="BD39" t="inlineStr">
        <is>
          <t>893247994</t>
        </is>
      </c>
    </row>
    <row r="40">
      <c r="A40" t="inlineStr">
        <is>
          <t>No</t>
        </is>
      </c>
      <c r="B40" t="inlineStr">
        <is>
          <t>HV1437.N5 F56 2005</t>
        </is>
      </c>
      <c r="C40" t="inlineStr">
        <is>
          <t>0                      HV 1437000N  5                  F  56          2005</t>
        </is>
      </c>
      <c r="D40" t="inlineStr">
        <is>
          <t>With no direction home : homeless youth on the road and in the streets / Marni Finkelstein.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Finkelstein, Marni.</t>
        </is>
      </c>
      <c r="L40" t="inlineStr">
        <is>
          <t>Belmont, CA : Thomson/Wadsworth, c2005.</t>
        </is>
      </c>
      <c r="M40" t="inlineStr">
        <is>
          <t>2005</t>
        </is>
      </c>
      <c r="O40" t="inlineStr">
        <is>
          <t>eng</t>
        </is>
      </c>
      <c r="P40" t="inlineStr">
        <is>
          <t>cau</t>
        </is>
      </c>
      <c r="Q40" t="inlineStr">
        <is>
          <t>Case studies on contemporary social issues</t>
        </is>
      </c>
      <c r="R40" t="inlineStr">
        <is>
          <t xml:space="preserve">HV </t>
        </is>
      </c>
      <c r="S40" t="n">
        <v>1</v>
      </c>
      <c r="T40" t="n">
        <v>1</v>
      </c>
      <c r="U40" t="inlineStr">
        <is>
          <t>2004-11-08</t>
        </is>
      </c>
      <c r="V40" t="inlineStr">
        <is>
          <t>2004-11-08</t>
        </is>
      </c>
      <c r="W40" t="inlineStr">
        <is>
          <t>2004-11-08</t>
        </is>
      </c>
      <c r="X40" t="inlineStr">
        <is>
          <t>2004-11-08</t>
        </is>
      </c>
      <c r="Y40" t="n">
        <v>253</v>
      </c>
      <c r="Z40" t="n">
        <v>203</v>
      </c>
      <c r="AA40" t="n">
        <v>203</v>
      </c>
      <c r="AB40" t="n">
        <v>2</v>
      </c>
      <c r="AC40" t="n">
        <v>2</v>
      </c>
      <c r="AD40" t="n">
        <v>9</v>
      </c>
      <c r="AE40" t="n">
        <v>9</v>
      </c>
      <c r="AF40" t="n">
        <v>6</v>
      </c>
      <c r="AG40" t="n">
        <v>6</v>
      </c>
      <c r="AH40" t="n">
        <v>0</v>
      </c>
      <c r="AI40" t="n">
        <v>0</v>
      </c>
      <c r="AJ40" t="n">
        <v>3</v>
      </c>
      <c r="AK40" t="n">
        <v>3</v>
      </c>
      <c r="AL40" t="n">
        <v>1</v>
      </c>
      <c r="AM40" t="n">
        <v>1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HYPERLINK("https://creighton-primo.hosted.exlibrisgroup.com/primo-explore/search?tab=default_tab&amp;search_scope=EVERYTHING&amp;vid=01CRU&amp;lang=en_US&amp;offset=0&amp;query=any,contains,991004376859702656","Catalog Record")</f>
        <v/>
      </c>
      <c r="AT40">
        <f>HYPERLINK("http://www.worldcat.org/oclc/56356098","WorldCat Record")</f>
        <v/>
      </c>
      <c r="AU40" t="inlineStr">
        <is>
          <t>911679:eng</t>
        </is>
      </c>
      <c r="AV40" t="inlineStr">
        <is>
          <t>56356098</t>
        </is>
      </c>
      <c r="AW40" t="inlineStr">
        <is>
          <t>991004376859702656</t>
        </is>
      </c>
      <c r="AX40" t="inlineStr">
        <is>
          <t>991004376859702656</t>
        </is>
      </c>
      <c r="AY40" t="inlineStr">
        <is>
          <t>2263949770002656</t>
        </is>
      </c>
      <c r="AZ40" t="inlineStr">
        <is>
          <t>BOOK</t>
        </is>
      </c>
      <c r="BB40" t="inlineStr">
        <is>
          <t>9780534626495</t>
        </is>
      </c>
      <c r="BC40" t="inlineStr">
        <is>
          <t>32285005009468</t>
        </is>
      </c>
      <c r="BD40" t="inlineStr">
        <is>
          <t>893687657</t>
        </is>
      </c>
    </row>
    <row r="41">
      <c r="A41" t="inlineStr">
        <is>
          <t>No</t>
        </is>
      </c>
      <c r="B41" t="inlineStr">
        <is>
          <t>HV1437.N5 W55 1994</t>
        </is>
      </c>
      <c r="C41" t="inlineStr">
        <is>
          <t>0                      HV 1437000N  5                  W  55          1994</t>
        </is>
      </c>
      <c r="D41" t="inlineStr">
        <is>
          <t>The uptown kids : struggle and hope in the projects / Terry Williams and William Kornblum.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Williams, Terry M. (Terry Moses), 1948-</t>
        </is>
      </c>
      <c r="L41" t="inlineStr">
        <is>
          <t>New York : Putnam, c1994.</t>
        </is>
      </c>
      <c r="M41" t="inlineStr">
        <is>
          <t>1994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HV </t>
        </is>
      </c>
      <c r="S41" t="n">
        <v>2</v>
      </c>
      <c r="T41" t="n">
        <v>2</v>
      </c>
      <c r="U41" t="inlineStr">
        <is>
          <t>2007-09-26</t>
        </is>
      </c>
      <c r="V41" t="inlineStr">
        <is>
          <t>2007-09-26</t>
        </is>
      </c>
      <c r="W41" t="inlineStr">
        <is>
          <t>1994-05-26</t>
        </is>
      </c>
      <c r="X41" t="inlineStr">
        <is>
          <t>1994-05-26</t>
        </is>
      </c>
      <c r="Y41" t="n">
        <v>336</v>
      </c>
      <c r="Z41" t="n">
        <v>316</v>
      </c>
      <c r="AA41" t="n">
        <v>323</v>
      </c>
      <c r="AB41" t="n">
        <v>3</v>
      </c>
      <c r="AC41" t="n">
        <v>3</v>
      </c>
      <c r="AD41" t="n">
        <v>17</v>
      </c>
      <c r="AE41" t="n">
        <v>17</v>
      </c>
      <c r="AF41" t="n">
        <v>5</v>
      </c>
      <c r="AG41" t="n">
        <v>5</v>
      </c>
      <c r="AH41" t="n">
        <v>7</v>
      </c>
      <c r="AI41" t="n">
        <v>7</v>
      </c>
      <c r="AJ41" t="n">
        <v>8</v>
      </c>
      <c r="AK41" t="n">
        <v>8</v>
      </c>
      <c r="AL41" t="n">
        <v>2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HYPERLINK("http://catalog.hathitrust.org/Record/002862076","HathiTrust Record")</f>
        <v/>
      </c>
      <c r="AS41">
        <f>HYPERLINK("https://creighton-primo.hosted.exlibrisgroup.com/primo-explore/search?tab=default_tab&amp;search_scope=EVERYTHING&amp;vid=01CRU&amp;lang=en_US&amp;offset=0&amp;query=any,contains,991002274359702656","Catalog Record")</f>
        <v/>
      </c>
      <c r="AT41">
        <f>HYPERLINK("http://www.worldcat.org/oclc/29518865","WorldCat Record")</f>
        <v/>
      </c>
      <c r="AU41" t="inlineStr">
        <is>
          <t>375671098:eng</t>
        </is>
      </c>
      <c r="AV41" t="inlineStr">
        <is>
          <t>29518865</t>
        </is>
      </c>
      <c r="AW41" t="inlineStr">
        <is>
          <t>991002274359702656</t>
        </is>
      </c>
      <c r="AX41" t="inlineStr">
        <is>
          <t>991002274359702656</t>
        </is>
      </c>
      <c r="AY41" t="inlineStr">
        <is>
          <t>2272072470002656</t>
        </is>
      </c>
      <c r="AZ41" t="inlineStr">
        <is>
          <t>BOOK</t>
        </is>
      </c>
      <c r="BB41" t="inlineStr">
        <is>
          <t>9780399138874</t>
        </is>
      </c>
      <c r="BC41" t="inlineStr">
        <is>
          <t>32285001899144</t>
        </is>
      </c>
      <c r="BD41" t="inlineStr">
        <is>
          <t>893341245</t>
        </is>
      </c>
    </row>
    <row r="42">
      <c r="A42" t="inlineStr">
        <is>
          <t>No</t>
        </is>
      </c>
      <c r="B42" t="inlineStr">
        <is>
          <t>HV1445 .B85 1994</t>
        </is>
      </c>
      <c r="C42" t="inlineStr">
        <is>
          <t>0                      HV 1445000B  85          1994</t>
        </is>
      </c>
      <c r="D42" t="inlineStr">
        <is>
          <t>Building on women's strengths : a social work agenda for the twenty-first century / Liane V. Davis, editor.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Haworth Press, c1994.</t>
        </is>
      </c>
      <c r="M42" t="inlineStr">
        <is>
          <t>1994</t>
        </is>
      </c>
      <c r="O42" t="inlineStr">
        <is>
          <t>eng</t>
        </is>
      </c>
      <c r="P42" t="inlineStr">
        <is>
          <t>nyu</t>
        </is>
      </c>
      <c r="Q42" t="inlineStr">
        <is>
          <t>Haworth social work practice</t>
        </is>
      </c>
      <c r="R42" t="inlineStr">
        <is>
          <t xml:space="preserve">HV </t>
        </is>
      </c>
      <c r="S42" t="n">
        <v>2</v>
      </c>
      <c r="T42" t="n">
        <v>2</v>
      </c>
      <c r="U42" t="inlineStr">
        <is>
          <t>2005-10-29</t>
        </is>
      </c>
      <c r="V42" t="inlineStr">
        <is>
          <t>2005-10-29</t>
        </is>
      </c>
      <c r="W42" t="inlineStr">
        <is>
          <t>2000-01-27</t>
        </is>
      </c>
      <c r="X42" t="inlineStr">
        <is>
          <t>2000-01-27</t>
        </is>
      </c>
      <c r="Y42" t="n">
        <v>368</v>
      </c>
      <c r="Z42" t="n">
        <v>292</v>
      </c>
      <c r="AA42" t="n">
        <v>705</v>
      </c>
      <c r="AB42" t="n">
        <v>4</v>
      </c>
      <c r="AC42" t="n">
        <v>30</v>
      </c>
      <c r="AD42" t="n">
        <v>20</v>
      </c>
      <c r="AE42" t="n">
        <v>39</v>
      </c>
      <c r="AF42" t="n">
        <v>6</v>
      </c>
      <c r="AG42" t="n">
        <v>10</v>
      </c>
      <c r="AH42" t="n">
        <v>5</v>
      </c>
      <c r="AI42" t="n">
        <v>7</v>
      </c>
      <c r="AJ42" t="n">
        <v>11</v>
      </c>
      <c r="AK42" t="n">
        <v>14</v>
      </c>
      <c r="AL42" t="n">
        <v>3</v>
      </c>
      <c r="AM42" t="n">
        <v>15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HYPERLINK("http://catalog.hathitrust.org/Record/002905367","HathiTrust Record")</f>
        <v/>
      </c>
      <c r="AS42">
        <f>HYPERLINK("https://creighton-primo.hosted.exlibrisgroup.com/primo-explore/search?tab=default_tab&amp;search_scope=EVERYTHING&amp;vid=01CRU&amp;lang=en_US&amp;offset=0&amp;query=any,contains,991002264529702656","Catalog Record")</f>
        <v/>
      </c>
      <c r="AT42">
        <f>HYPERLINK("http://www.worldcat.org/oclc/29361270","WorldCat Record")</f>
        <v/>
      </c>
      <c r="AU42" t="inlineStr">
        <is>
          <t>800759754:eng</t>
        </is>
      </c>
      <c r="AV42" t="inlineStr">
        <is>
          <t>29361270</t>
        </is>
      </c>
      <c r="AW42" t="inlineStr">
        <is>
          <t>991002264529702656</t>
        </is>
      </c>
      <c r="AX42" t="inlineStr">
        <is>
          <t>991002264529702656</t>
        </is>
      </c>
      <c r="AY42" t="inlineStr">
        <is>
          <t>2256585650002656</t>
        </is>
      </c>
      <c r="AZ42" t="inlineStr">
        <is>
          <t>BOOK</t>
        </is>
      </c>
      <c r="BB42" t="inlineStr">
        <is>
          <t>9781560248620</t>
        </is>
      </c>
      <c r="BC42" t="inlineStr">
        <is>
          <t>32285003656393</t>
        </is>
      </c>
      <c r="BD42" t="inlineStr">
        <is>
          <t>893785928</t>
        </is>
      </c>
    </row>
    <row r="43">
      <c r="A43" t="inlineStr">
        <is>
          <t>No</t>
        </is>
      </c>
      <c r="B43" t="inlineStr">
        <is>
          <t>HV1445 .E45 1999</t>
        </is>
      </c>
      <c r="C43" t="inlineStr">
        <is>
          <t>0                      HV 1445000E  45          1999</t>
        </is>
      </c>
      <c r="D43" t="inlineStr">
        <is>
          <t>Empowering women of color / [edited by] Lorraine M. Gutiérrez and Edith A. Lewis.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New York : Columbia University Press, c1999.</t>
        </is>
      </c>
      <c r="M43" t="inlineStr">
        <is>
          <t>1999</t>
        </is>
      </c>
      <c r="O43" t="inlineStr">
        <is>
          <t>eng</t>
        </is>
      </c>
      <c r="P43" t="inlineStr">
        <is>
          <t>nyu</t>
        </is>
      </c>
      <c r="Q43" t="inlineStr">
        <is>
          <t>Empowering the powerless</t>
        </is>
      </c>
      <c r="R43" t="inlineStr">
        <is>
          <t xml:space="preserve">HV </t>
        </is>
      </c>
      <c r="S43" t="n">
        <v>2</v>
      </c>
      <c r="T43" t="n">
        <v>2</v>
      </c>
      <c r="U43" t="inlineStr">
        <is>
          <t>2006-11-09</t>
        </is>
      </c>
      <c r="V43" t="inlineStr">
        <is>
          <t>2006-11-09</t>
        </is>
      </c>
      <c r="W43" t="inlineStr">
        <is>
          <t>2000-12-12</t>
        </is>
      </c>
      <c r="X43" t="inlineStr">
        <is>
          <t>2000-12-12</t>
        </is>
      </c>
      <c r="Y43" t="n">
        <v>420</v>
      </c>
      <c r="Z43" t="n">
        <v>375</v>
      </c>
      <c r="AA43" t="n">
        <v>380</v>
      </c>
      <c r="AB43" t="n">
        <v>2</v>
      </c>
      <c r="AC43" t="n">
        <v>2</v>
      </c>
      <c r="AD43" t="n">
        <v>22</v>
      </c>
      <c r="AE43" t="n">
        <v>22</v>
      </c>
      <c r="AF43" t="n">
        <v>9</v>
      </c>
      <c r="AG43" t="n">
        <v>9</v>
      </c>
      <c r="AH43" t="n">
        <v>5</v>
      </c>
      <c r="AI43" t="n">
        <v>5</v>
      </c>
      <c r="AJ43" t="n">
        <v>9</v>
      </c>
      <c r="AK43" t="n">
        <v>9</v>
      </c>
      <c r="AL43" t="n">
        <v>1</v>
      </c>
      <c r="AM43" t="n">
        <v>1</v>
      </c>
      <c r="AN43" t="n">
        <v>2</v>
      </c>
      <c r="AO43" t="n">
        <v>2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HYPERLINK("https://creighton-primo.hosted.exlibrisgroup.com/primo-explore/search?tab=default_tab&amp;search_scope=EVERYTHING&amp;vid=01CRU&amp;lang=en_US&amp;offset=0&amp;query=any,contains,991003313769702656","Catalog Record")</f>
        <v/>
      </c>
      <c r="AT43">
        <f>HYPERLINK("http://www.worldcat.org/oclc/40354840","WorldCat Record")</f>
        <v/>
      </c>
      <c r="AU43" t="inlineStr">
        <is>
          <t>1062491:eng</t>
        </is>
      </c>
      <c r="AV43" t="inlineStr">
        <is>
          <t>40354840</t>
        </is>
      </c>
      <c r="AW43" t="inlineStr">
        <is>
          <t>991003313769702656</t>
        </is>
      </c>
      <c r="AX43" t="inlineStr">
        <is>
          <t>991003313769702656</t>
        </is>
      </c>
      <c r="AY43" t="inlineStr">
        <is>
          <t>2267179190002656</t>
        </is>
      </c>
      <c r="AZ43" t="inlineStr">
        <is>
          <t>BOOK</t>
        </is>
      </c>
      <c r="BB43" t="inlineStr">
        <is>
          <t>9780231101165</t>
        </is>
      </c>
      <c r="BC43" t="inlineStr">
        <is>
          <t>32285004276076</t>
        </is>
      </c>
      <c r="BD43" t="inlineStr">
        <is>
          <t>893686432</t>
        </is>
      </c>
    </row>
    <row r="44">
      <c r="A44" t="inlineStr">
        <is>
          <t>No</t>
        </is>
      </c>
      <c r="B44" t="inlineStr">
        <is>
          <t>HV1445 .M55 1999</t>
        </is>
      </c>
      <c r="C44" t="inlineStr">
        <is>
          <t>0                      HV 1445000M  55          1999</t>
        </is>
      </c>
      <c r="D44" t="inlineStr">
        <is>
          <t>Whose welfare? / edited by Gwendolyn Mink.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Ithaca, N.Y. : Cornell University Press, 1999.</t>
        </is>
      </c>
      <c r="M44" t="inlineStr">
        <is>
          <t>1999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HV </t>
        </is>
      </c>
      <c r="S44" t="n">
        <v>9</v>
      </c>
      <c r="T44" t="n">
        <v>9</v>
      </c>
      <c r="U44" t="inlineStr">
        <is>
          <t>2005-08-29</t>
        </is>
      </c>
      <c r="V44" t="inlineStr">
        <is>
          <t>2005-08-29</t>
        </is>
      </c>
      <c r="W44" t="inlineStr">
        <is>
          <t>2000-10-04</t>
        </is>
      </c>
      <c r="X44" t="inlineStr">
        <is>
          <t>2000-10-04</t>
        </is>
      </c>
      <c r="Y44" t="n">
        <v>578</v>
      </c>
      <c r="Z44" t="n">
        <v>517</v>
      </c>
      <c r="AA44" t="n">
        <v>708</v>
      </c>
      <c r="AB44" t="n">
        <v>2</v>
      </c>
      <c r="AC44" t="n">
        <v>2</v>
      </c>
      <c r="AD44" t="n">
        <v>27</v>
      </c>
      <c r="AE44" t="n">
        <v>36</v>
      </c>
      <c r="AF44" t="n">
        <v>10</v>
      </c>
      <c r="AG44" t="n">
        <v>16</v>
      </c>
      <c r="AH44" t="n">
        <v>5</v>
      </c>
      <c r="AI44" t="n">
        <v>9</v>
      </c>
      <c r="AJ44" t="n">
        <v>15</v>
      </c>
      <c r="AK44" t="n">
        <v>18</v>
      </c>
      <c r="AL44" t="n">
        <v>1</v>
      </c>
      <c r="AM44" t="n">
        <v>1</v>
      </c>
      <c r="AN44" t="n">
        <v>2</v>
      </c>
      <c r="AO44" t="n">
        <v>2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HYPERLINK("https://creighton-primo.hosted.exlibrisgroup.com/primo-explore/search?tab=default_tab&amp;search_scope=EVERYTHING&amp;vid=01CRU&amp;lang=en_US&amp;offset=0&amp;query=any,contains,991003307159702656","Catalog Record")</f>
        <v/>
      </c>
      <c r="AT44">
        <f>HYPERLINK("http://www.worldcat.org/oclc/41612512","WorldCat Record")</f>
        <v/>
      </c>
      <c r="AU44" t="inlineStr">
        <is>
          <t>12680490:eng</t>
        </is>
      </c>
      <c r="AV44" t="inlineStr">
        <is>
          <t>41612512</t>
        </is>
      </c>
      <c r="AW44" t="inlineStr">
        <is>
          <t>991003307159702656</t>
        </is>
      </c>
      <c r="AX44" t="inlineStr">
        <is>
          <t>991003307159702656</t>
        </is>
      </c>
      <c r="AY44" t="inlineStr">
        <is>
          <t>2263792720002656</t>
        </is>
      </c>
      <c r="AZ44" t="inlineStr">
        <is>
          <t>BOOK</t>
        </is>
      </c>
      <c r="BB44" t="inlineStr">
        <is>
          <t>9780801486203</t>
        </is>
      </c>
      <c r="BC44" t="inlineStr">
        <is>
          <t>32285003766416</t>
        </is>
      </c>
      <c r="BD44" t="inlineStr">
        <is>
          <t>893868284</t>
        </is>
      </c>
    </row>
    <row r="45">
      <c r="A45" t="inlineStr">
        <is>
          <t>No</t>
        </is>
      </c>
      <c r="B45" t="inlineStr">
        <is>
          <t>HV1445 .R64 1990</t>
        </is>
      </c>
      <c r="C45" t="inlineStr">
        <is>
          <t>0                      HV 1445000R  64          1990</t>
        </is>
      </c>
      <c r="D45" t="inlineStr">
        <is>
          <t>Poor women, poor families : the economic plight of America's female-headed households / Harrell R. Rodgers, Jr.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Rodgers, Harrell R.</t>
        </is>
      </c>
      <c r="L45" t="inlineStr">
        <is>
          <t>Armonk, N.Y. : M.E. Sharpe, c1990.</t>
        </is>
      </c>
      <c r="M45" t="inlineStr">
        <is>
          <t>1990</t>
        </is>
      </c>
      <c r="N45" t="inlineStr">
        <is>
          <t>Rev.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HV </t>
        </is>
      </c>
      <c r="S45" t="n">
        <v>14</v>
      </c>
      <c r="T45" t="n">
        <v>14</v>
      </c>
      <c r="U45" t="inlineStr">
        <is>
          <t>1997-03-12</t>
        </is>
      </c>
      <c r="V45" t="inlineStr">
        <is>
          <t>1997-03-12</t>
        </is>
      </c>
      <c r="W45" t="inlineStr">
        <is>
          <t>1990-09-24</t>
        </is>
      </c>
      <c r="X45" t="inlineStr">
        <is>
          <t>1990-09-24</t>
        </is>
      </c>
      <c r="Y45" t="n">
        <v>580</v>
      </c>
      <c r="Z45" t="n">
        <v>519</v>
      </c>
      <c r="AA45" t="n">
        <v>967</v>
      </c>
      <c r="AB45" t="n">
        <v>4</v>
      </c>
      <c r="AC45" t="n">
        <v>9</v>
      </c>
      <c r="AD45" t="n">
        <v>24</v>
      </c>
      <c r="AE45" t="n">
        <v>47</v>
      </c>
      <c r="AF45" t="n">
        <v>9</v>
      </c>
      <c r="AG45" t="n">
        <v>18</v>
      </c>
      <c r="AH45" t="n">
        <v>5</v>
      </c>
      <c r="AI45" t="n">
        <v>8</v>
      </c>
      <c r="AJ45" t="n">
        <v>8</v>
      </c>
      <c r="AK45" t="n">
        <v>18</v>
      </c>
      <c r="AL45" t="n">
        <v>3</v>
      </c>
      <c r="AM45" t="n">
        <v>7</v>
      </c>
      <c r="AN45" t="n">
        <v>3</v>
      </c>
      <c r="AO45" t="n">
        <v>5</v>
      </c>
      <c r="AP45" t="inlineStr">
        <is>
          <t>No</t>
        </is>
      </c>
      <c r="AQ45" t="inlineStr">
        <is>
          <t>Yes</t>
        </is>
      </c>
      <c r="AR45">
        <f>HYPERLINK("http://catalog.hathitrust.org/Record/002164509","HathiTrust Record")</f>
        <v/>
      </c>
      <c r="AS45">
        <f>HYPERLINK("https://creighton-primo.hosted.exlibrisgroup.com/primo-explore/search?tab=default_tab&amp;search_scope=EVERYTHING&amp;vid=01CRU&amp;lang=en_US&amp;offset=0&amp;query=any,contains,991001596769702656","Catalog Record")</f>
        <v/>
      </c>
      <c r="AT45">
        <f>HYPERLINK("http://www.worldcat.org/oclc/20629283","WorldCat Record")</f>
        <v/>
      </c>
      <c r="AU45" t="inlineStr">
        <is>
          <t>6711321:eng</t>
        </is>
      </c>
      <c r="AV45" t="inlineStr">
        <is>
          <t>20629283</t>
        </is>
      </c>
      <c r="AW45" t="inlineStr">
        <is>
          <t>991001596769702656</t>
        </is>
      </c>
      <c r="AX45" t="inlineStr">
        <is>
          <t>991001596769702656</t>
        </is>
      </c>
      <c r="AY45" t="inlineStr">
        <is>
          <t>2264395140002656</t>
        </is>
      </c>
      <c r="AZ45" t="inlineStr">
        <is>
          <t>BOOK</t>
        </is>
      </c>
      <c r="BB45" t="inlineStr">
        <is>
          <t>9780873325950</t>
        </is>
      </c>
      <c r="BC45" t="inlineStr">
        <is>
          <t>32285000277961</t>
        </is>
      </c>
      <c r="BD45" t="inlineStr">
        <is>
          <t>893897893</t>
        </is>
      </c>
    </row>
    <row r="46">
      <c r="A46" t="inlineStr">
        <is>
          <t>No</t>
        </is>
      </c>
      <c r="B46" t="inlineStr">
        <is>
          <t>HV1445 .R64 1996</t>
        </is>
      </c>
      <c r="C46" t="inlineStr">
        <is>
          <t>0                      HV 1445000R  64          1996</t>
        </is>
      </c>
      <c r="D46" t="inlineStr">
        <is>
          <t>Poor women, poor children : American poverty in the 1990s / by Harrell R. Rodgers, Jr.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Rodgers, Harrell R.</t>
        </is>
      </c>
      <c r="L46" t="inlineStr">
        <is>
          <t>Armonk, N.Y. : M.E. Sharpe, c1996.</t>
        </is>
      </c>
      <c r="M46" t="inlineStr">
        <is>
          <t>1996</t>
        </is>
      </c>
      <c r="N46" t="inlineStr">
        <is>
          <t>3rd ed.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HV </t>
        </is>
      </c>
      <c r="S46" t="n">
        <v>4</v>
      </c>
      <c r="T46" t="n">
        <v>4</v>
      </c>
      <c r="U46" t="inlineStr">
        <is>
          <t>2010-02-03</t>
        </is>
      </c>
      <c r="V46" t="inlineStr">
        <is>
          <t>2010-02-03</t>
        </is>
      </c>
      <c r="W46" t="inlineStr">
        <is>
          <t>2001-05-17</t>
        </is>
      </c>
      <c r="X46" t="inlineStr">
        <is>
          <t>2001-05-17</t>
        </is>
      </c>
      <c r="Y46" t="n">
        <v>463</v>
      </c>
      <c r="Z46" t="n">
        <v>414</v>
      </c>
      <c r="AA46" t="n">
        <v>436</v>
      </c>
      <c r="AB46" t="n">
        <v>5</v>
      </c>
      <c r="AC46" t="n">
        <v>5</v>
      </c>
      <c r="AD46" t="n">
        <v>23</v>
      </c>
      <c r="AE46" t="n">
        <v>23</v>
      </c>
      <c r="AF46" t="n">
        <v>10</v>
      </c>
      <c r="AG46" t="n">
        <v>10</v>
      </c>
      <c r="AH46" t="n">
        <v>4</v>
      </c>
      <c r="AI46" t="n">
        <v>4</v>
      </c>
      <c r="AJ46" t="n">
        <v>12</v>
      </c>
      <c r="AK46" t="n">
        <v>12</v>
      </c>
      <c r="AL46" t="n">
        <v>4</v>
      </c>
      <c r="AM46" t="n">
        <v>4</v>
      </c>
      <c r="AN46" t="n">
        <v>0</v>
      </c>
      <c r="AO46" t="n">
        <v>0</v>
      </c>
      <c r="AP46" t="inlineStr">
        <is>
          <t>No</t>
        </is>
      </c>
      <c r="AQ46" t="inlineStr">
        <is>
          <t>No</t>
        </is>
      </c>
      <c r="AS46">
        <f>HYPERLINK("https://creighton-primo.hosted.exlibrisgroup.com/primo-explore/search?tab=default_tab&amp;search_scope=EVERYTHING&amp;vid=01CRU&amp;lang=en_US&amp;offset=0&amp;query=any,contains,991003474079702656","Catalog Record")</f>
        <v/>
      </c>
      <c r="AT46">
        <f>HYPERLINK("http://www.worldcat.org/oclc/33162270","WorldCat Record")</f>
        <v/>
      </c>
      <c r="AU46" t="inlineStr">
        <is>
          <t>198524391:eng</t>
        </is>
      </c>
      <c r="AV46" t="inlineStr">
        <is>
          <t>33162270</t>
        </is>
      </c>
      <c r="AW46" t="inlineStr">
        <is>
          <t>991003474079702656</t>
        </is>
      </c>
      <c r="AX46" t="inlineStr">
        <is>
          <t>991003474079702656</t>
        </is>
      </c>
      <c r="AY46" t="inlineStr">
        <is>
          <t>2262364320002656</t>
        </is>
      </c>
      <c r="AZ46" t="inlineStr">
        <is>
          <t>BOOK</t>
        </is>
      </c>
      <c r="BB46" t="inlineStr">
        <is>
          <t>9781563246074</t>
        </is>
      </c>
      <c r="BC46" t="inlineStr">
        <is>
          <t>32285004318076</t>
        </is>
      </c>
      <c r="BD46" t="inlineStr">
        <is>
          <t>893799753</t>
        </is>
      </c>
    </row>
    <row r="47">
      <c r="A47" t="inlineStr">
        <is>
          <t>No</t>
        </is>
      </c>
      <c r="B47" t="inlineStr">
        <is>
          <t>HV1445 .R68</t>
        </is>
      </c>
      <c r="C47" t="inlineStr">
        <is>
          <t>0                      HV 1445000R  68</t>
        </is>
      </c>
      <c r="D47" t="inlineStr">
        <is>
          <t>Shopping bag ladies : homeless women speak about their lives / by Ann Marie Rousseau ; preface by Alix Kates Shulman.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Rousseau, Ann Marie, 1946-</t>
        </is>
      </c>
      <c r="L47" t="inlineStr">
        <is>
          <t>New York : Pilgrim Press, c1981.</t>
        </is>
      </c>
      <c r="M47" t="inlineStr">
        <is>
          <t>1981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HV </t>
        </is>
      </c>
      <c r="S47" t="n">
        <v>3</v>
      </c>
      <c r="T47" t="n">
        <v>3</v>
      </c>
      <c r="U47" t="inlineStr">
        <is>
          <t>1995-04-06</t>
        </is>
      </c>
      <c r="V47" t="inlineStr">
        <is>
          <t>1995-04-06</t>
        </is>
      </c>
      <c r="W47" t="inlineStr">
        <is>
          <t>1990-04-10</t>
        </is>
      </c>
      <c r="X47" t="inlineStr">
        <is>
          <t>1990-04-10</t>
        </is>
      </c>
      <c r="Y47" t="n">
        <v>898</v>
      </c>
      <c r="Z47" t="n">
        <v>844</v>
      </c>
      <c r="AA47" t="n">
        <v>860</v>
      </c>
      <c r="AB47" t="n">
        <v>5</v>
      </c>
      <c r="AC47" t="n">
        <v>5</v>
      </c>
      <c r="AD47" t="n">
        <v>33</v>
      </c>
      <c r="AE47" t="n">
        <v>34</v>
      </c>
      <c r="AF47" t="n">
        <v>14</v>
      </c>
      <c r="AG47" t="n">
        <v>14</v>
      </c>
      <c r="AH47" t="n">
        <v>8</v>
      </c>
      <c r="AI47" t="n">
        <v>9</v>
      </c>
      <c r="AJ47" t="n">
        <v>14</v>
      </c>
      <c r="AK47" t="n">
        <v>15</v>
      </c>
      <c r="AL47" t="n">
        <v>4</v>
      </c>
      <c r="AM47" t="n">
        <v>4</v>
      </c>
      <c r="AN47" t="n">
        <v>1</v>
      </c>
      <c r="AO47" t="n">
        <v>1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HYPERLINK("http://catalog.hathitrust.org/Record/000305478","HathiTrust Record")</f>
        <v/>
      </c>
      <c r="AS47">
        <f>HYPERLINK("https://creighton-primo.hosted.exlibrisgroup.com/primo-explore/search?tab=default_tab&amp;search_scope=EVERYTHING&amp;vid=01CRU&amp;lang=en_US&amp;offset=0&amp;query=any,contains,991005087899702656","Catalog Record")</f>
        <v/>
      </c>
      <c r="AT47">
        <f>HYPERLINK("http://www.worldcat.org/oclc/7197693","WorldCat Record")</f>
        <v/>
      </c>
      <c r="AU47" t="inlineStr">
        <is>
          <t>905640662:eng</t>
        </is>
      </c>
      <c r="AV47" t="inlineStr">
        <is>
          <t>7197693</t>
        </is>
      </c>
      <c r="AW47" t="inlineStr">
        <is>
          <t>991005087899702656</t>
        </is>
      </c>
      <c r="AX47" t="inlineStr">
        <is>
          <t>991005087899702656</t>
        </is>
      </c>
      <c r="AY47" t="inlineStr">
        <is>
          <t>2256838190002656</t>
        </is>
      </c>
      <c r="AZ47" t="inlineStr">
        <is>
          <t>BOOK</t>
        </is>
      </c>
      <c r="BB47" t="inlineStr">
        <is>
          <t>9780829804133</t>
        </is>
      </c>
      <c r="BC47" t="inlineStr">
        <is>
          <t>32285000114479</t>
        </is>
      </c>
      <c r="BD47" t="inlineStr">
        <is>
          <t>893719745</t>
        </is>
      </c>
    </row>
    <row r="48">
      <c r="A48" t="inlineStr">
        <is>
          <t>No</t>
        </is>
      </c>
      <c r="B48" t="inlineStr">
        <is>
          <t>HV1445 .W664 2003</t>
        </is>
      </c>
      <c r="C48" t="inlineStr">
        <is>
          <t>0                      HV 1445000W  664         2003</t>
        </is>
      </c>
      <c r="D48" t="inlineStr">
        <is>
          <t>Women, work, and poverty : women centered research for policy change / Heidi Hartmann, editor.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Women's Policy Research Conference (7th : 2003 : Washington, D.C.)</t>
        </is>
      </c>
      <c r="L48" t="inlineStr">
        <is>
          <t>New York : Haworth Political Press, c2005.</t>
        </is>
      </c>
      <c r="M48" t="inlineStr">
        <is>
          <t>2005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HV </t>
        </is>
      </c>
      <c r="S48" t="n">
        <v>2</v>
      </c>
      <c r="T48" t="n">
        <v>2</v>
      </c>
      <c r="U48" t="inlineStr">
        <is>
          <t>2010-09-28</t>
        </is>
      </c>
      <c r="V48" t="inlineStr">
        <is>
          <t>2010-09-28</t>
        </is>
      </c>
      <c r="W48" t="inlineStr">
        <is>
          <t>2006-10-16</t>
        </is>
      </c>
      <c r="X48" t="inlineStr">
        <is>
          <t>2006-10-16</t>
        </is>
      </c>
      <c r="Y48" t="n">
        <v>124</v>
      </c>
      <c r="Z48" t="n">
        <v>90</v>
      </c>
      <c r="AA48" t="n">
        <v>115</v>
      </c>
      <c r="AB48" t="n">
        <v>1</v>
      </c>
      <c r="AC48" t="n">
        <v>1</v>
      </c>
      <c r="AD48" t="n">
        <v>2</v>
      </c>
      <c r="AE48" t="n">
        <v>2</v>
      </c>
      <c r="AF48" t="n">
        <v>0</v>
      </c>
      <c r="AG48" t="n">
        <v>0</v>
      </c>
      <c r="AH48" t="n">
        <v>2</v>
      </c>
      <c r="AI48" t="n">
        <v>2</v>
      </c>
      <c r="AJ48" t="n">
        <v>2</v>
      </c>
      <c r="AK48" t="n">
        <v>2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HYPERLINK("http://catalog.hathitrust.org/Record/005405299","HathiTrust Record")</f>
        <v/>
      </c>
      <c r="AS48">
        <f>HYPERLINK("https://creighton-primo.hosted.exlibrisgroup.com/primo-explore/search?tab=default_tab&amp;search_scope=EVERYTHING&amp;vid=01CRU&amp;lang=en_US&amp;offset=0&amp;query=any,contains,991004902969702656","Catalog Record")</f>
        <v/>
      </c>
      <c r="AT48">
        <f>HYPERLINK("http://www.worldcat.org/oclc/62302205","WorldCat Record")</f>
        <v/>
      </c>
      <c r="AU48" t="inlineStr">
        <is>
          <t>149209744:eng</t>
        </is>
      </c>
      <c r="AV48" t="inlineStr">
        <is>
          <t>62302205</t>
        </is>
      </c>
      <c r="AW48" t="inlineStr">
        <is>
          <t>991004902969702656</t>
        </is>
      </c>
      <c r="AX48" t="inlineStr">
        <is>
          <t>991004902969702656</t>
        </is>
      </c>
      <c r="AY48" t="inlineStr">
        <is>
          <t>2260117080002656</t>
        </is>
      </c>
      <c r="AZ48" t="inlineStr">
        <is>
          <t>BOOK</t>
        </is>
      </c>
      <c r="BB48" t="inlineStr">
        <is>
          <t>9780789032454</t>
        </is>
      </c>
      <c r="BC48" t="inlineStr">
        <is>
          <t>32285005230270</t>
        </is>
      </c>
      <c r="BD48" t="inlineStr">
        <is>
          <t>893344384</t>
        </is>
      </c>
    </row>
    <row r="49">
      <c r="A49" t="inlineStr">
        <is>
          <t>No</t>
        </is>
      </c>
      <c r="B49" t="inlineStr">
        <is>
          <t>HV1445 .Z66 1989</t>
        </is>
      </c>
      <c r="C49" t="inlineStr">
        <is>
          <t>0                      HV 1445000Z  66          1989</t>
        </is>
      </c>
      <c r="D49" t="inlineStr">
        <is>
          <t>American women in poverty / Paul E. Zopf, Jr.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Zopf, Paul E.</t>
        </is>
      </c>
      <c r="L49" t="inlineStr">
        <is>
          <t>New York : Greenwood Press, 1989.</t>
        </is>
      </c>
      <c r="M49" t="inlineStr">
        <is>
          <t>1989</t>
        </is>
      </c>
      <c r="O49" t="inlineStr">
        <is>
          <t>eng</t>
        </is>
      </c>
      <c r="P49" t="inlineStr">
        <is>
          <t>nyu</t>
        </is>
      </c>
      <c r="Q49" t="inlineStr">
        <is>
          <t>Contributions in women's studies, 0147-104X ; no. 100</t>
        </is>
      </c>
      <c r="R49" t="inlineStr">
        <is>
          <t xml:space="preserve">HV </t>
        </is>
      </c>
      <c r="S49" t="n">
        <v>14</v>
      </c>
      <c r="T49" t="n">
        <v>14</v>
      </c>
      <c r="U49" t="inlineStr">
        <is>
          <t>1999-12-02</t>
        </is>
      </c>
      <c r="V49" t="inlineStr">
        <is>
          <t>1999-12-02</t>
        </is>
      </c>
      <c r="W49" t="inlineStr">
        <is>
          <t>1992-06-24</t>
        </is>
      </c>
      <c r="X49" t="inlineStr">
        <is>
          <t>1992-06-24</t>
        </is>
      </c>
      <c r="Y49" t="n">
        <v>760</v>
      </c>
      <c r="Z49" t="n">
        <v>682</v>
      </c>
      <c r="AA49" t="n">
        <v>687</v>
      </c>
      <c r="AB49" t="n">
        <v>6</v>
      </c>
      <c r="AC49" t="n">
        <v>6</v>
      </c>
      <c r="AD49" t="n">
        <v>33</v>
      </c>
      <c r="AE49" t="n">
        <v>33</v>
      </c>
      <c r="AF49" t="n">
        <v>12</v>
      </c>
      <c r="AG49" t="n">
        <v>12</v>
      </c>
      <c r="AH49" t="n">
        <v>8</v>
      </c>
      <c r="AI49" t="n">
        <v>8</v>
      </c>
      <c r="AJ49" t="n">
        <v>16</v>
      </c>
      <c r="AK49" t="n">
        <v>16</v>
      </c>
      <c r="AL49" t="n">
        <v>5</v>
      </c>
      <c r="AM49" t="n">
        <v>5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HYPERLINK("https://creighton-primo.hosted.exlibrisgroup.com/primo-explore/search?tab=default_tab&amp;search_scope=EVERYTHING&amp;vid=01CRU&amp;lang=en_US&amp;offset=0&amp;query=any,contains,991001324289702656","Catalog Record")</f>
        <v/>
      </c>
      <c r="AT49">
        <f>HYPERLINK("http://www.worldcat.org/oclc/18258283","WorldCat Record")</f>
        <v/>
      </c>
      <c r="AU49" t="inlineStr">
        <is>
          <t>2615286:eng</t>
        </is>
      </c>
      <c r="AV49" t="inlineStr">
        <is>
          <t>18258283</t>
        </is>
      </c>
      <c r="AW49" t="inlineStr">
        <is>
          <t>991001324289702656</t>
        </is>
      </c>
      <c r="AX49" t="inlineStr">
        <is>
          <t>991001324289702656</t>
        </is>
      </c>
      <c r="AY49" t="inlineStr">
        <is>
          <t>2254842770002656</t>
        </is>
      </c>
      <c r="AZ49" t="inlineStr">
        <is>
          <t>BOOK</t>
        </is>
      </c>
      <c r="BB49" t="inlineStr">
        <is>
          <t>9780313259807</t>
        </is>
      </c>
      <c r="BC49" t="inlineStr">
        <is>
          <t>32285001180065</t>
        </is>
      </c>
      <c r="BD49" t="inlineStr">
        <is>
          <t>893778720</t>
        </is>
      </c>
    </row>
    <row r="50">
      <c r="A50" t="inlineStr">
        <is>
          <t>No</t>
        </is>
      </c>
      <c r="B50" t="inlineStr">
        <is>
          <t>HV1446.A8 H65 2002</t>
        </is>
      </c>
      <c r="C50" t="inlineStr">
        <is>
          <t>0                      HV 1446000A  8                  H  65          2002</t>
        </is>
      </c>
      <c r="D50" t="inlineStr">
        <is>
          <t>Moving up and out : poverty, education, and the single parent family / Lori Holyfield ; foreword by Hillary Rodham Clinton.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Holyfield, Lori, 1960-</t>
        </is>
      </c>
      <c r="L50" t="inlineStr">
        <is>
          <t>Philadelphia : Temple University Press, 2002.</t>
        </is>
      </c>
      <c r="M50" t="inlineStr">
        <is>
          <t>2002</t>
        </is>
      </c>
      <c r="O50" t="inlineStr">
        <is>
          <t>eng</t>
        </is>
      </c>
      <c r="P50" t="inlineStr">
        <is>
          <t>pau</t>
        </is>
      </c>
      <c r="R50" t="inlineStr">
        <is>
          <t xml:space="preserve">HV </t>
        </is>
      </c>
      <c r="S50" t="n">
        <v>8</v>
      </c>
      <c r="T50" t="n">
        <v>8</v>
      </c>
      <c r="U50" t="inlineStr">
        <is>
          <t>2010-04-18</t>
        </is>
      </c>
      <c r="V50" t="inlineStr">
        <is>
          <t>2010-04-18</t>
        </is>
      </c>
      <c r="W50" t="inlineStr">
        <is>
          <t>2002-04-10</t>
        </is>
      </c>
      <c r="X50" t="inlineStr">
        <is>
          <t>2002-04-10</t>
        </is>
      </c>
      <c r="Y50" t="n">
        <v>540</v>
      </c>
      <c r="Z50" t="n">
        <v>496</v>
      </c>
      <c r="AA50" t="n">
        <v>928</v>
      </c>
      <c r="AB50" t="n">
        <v>3</v>
      </c>
      <c r="AC50" t="n">
        <v>6</v>
      </c>
      <c r="AD50" t="n">
        <v>19</v>
      </c>
      <c r="AE50" t="n">
        <v>40</v>
      </c>
      <c r="AF50" t="n">
        <v>6</v>
      </c>
      <c r="AG50" t="n">
        <v>16</v>
      </c>
      <c r="AH50" t="n">
        <v>7</v>
      </c>
      <c r="AI50" t="n">
        <v>10</v>
      </c>
      <c r="AJ50" t="n">
        <v>7</v>
      </c>
      <c r="AK50" t="n">
        <v>16</v>
      </c>
      <c r="AL50" t="n">
        <v>2</v>
      </c>
      <c r="AM50" t="n">
        <v>5</v>
      </c>
      <c r="AN50" t="n">
        <v>1</v>
      </c>
      <c r="AO50" t="n">
        <v>2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HYPERLINK("https://creighton-primo.hosted.exlibrisgroup.com/primo-explore/search?tab=default_tab&amp;search_scope=EVERYTHING&amp;vid=01CRU&amp;lang=en_US&amp;offset=0&amp;query=any,contains,991003753979702656","Catalog Record")</f>
        <v/>
      </c>
      <c r="AT50">
        <f>HYPERLINK("http://www.worldcat.org/oclc/47074641","WorldCat Record")</f>
        <v/>
      </c>
      <c r="AU50" t="inlineStr">
        <is>
          <t>797275429:eng</t>
        </is>
      </c>
      <c r="AV50" t="inlineStr">
        <is>
          <t>47074641</t>
        </is>
      </c>
      <c r="AW50" t="inlineStr">
        <is>
          <t>991003753979702656</t>
        </is>
      </c>
      <c r="AX50" t="inlineStr">
        <is>
          <t>991003753979702656</t>
        </is>
      </c>
      <c r="AY50" t="inlineStr">
        <is>
          <t>2266999500002656</t>
        </is>
      </c>
      <c r="AZ50" t="inlineStr">
        <is>
          <t>BOOK</t>
        </is>
      </c>
      <c r="BB50" t="inlineStr">
        <is>
          <t>9781566399142</t>
        </is>
      </c>
      <c r="BC50" t="inlineStr">
        <is>
          <t>32285004478607</t>
        </is>
      </c>
      <c r="BD50" t="inlineStr">
        <is>
          <t>893234532</t>
        </is>
      </c>
    </row>
    <row r="51">
      <c r="A51" t="inlineStr">
        <is>
          <t>No</t>
        </is>
      </c>
      <c r="B51" t="inlineStr">
        <is>
          <t>HV1447.P55 M47 2005</t>
        </is>
      </c>
      <c r="C51" t="inlineStr">
        <is>
          <t>0                      HV 1447000P  55                 M  47          2005</t>
        </is>
      </c>
      <c r="D51" t="inlineStr">
        <is>
          <t>The evolution of feminist organizations : an organizational study / Diane Metzendorf.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Metzendorf, Diane.</t>
        </is>
      </c>
      <c r="L51" t="inlineStr">
        <is>
          <t>Lanham, Md. : University Press of America, c2005.</t>
        </is>
      </c>
      <c r="M51" t="inlineStr">
        <is>
          <t>2005</t>
        </is>
      </c>
      <c r="O51" t="inlineStr">
        <is>
          <t>eng</t>
        </is>
      </c>
      <c r="P51" t="inlineStr">
        <is>
          <t>mdu</t>
        </is>
      </c>
      <c r="R51" t="inlineStr">
        <is>
          <t xml:space="preserve">HV </t>
        </is>
      </c>
      <c r="S51" t="n">
        <v>1</v>
      </c>
      <c r="T51" t="n">
        <v>1</v>
      </c>
      <c r="U51" t="inlineStr">
        <is>
          <t>2007-02-14</t>
        </is>
      </c>
      <c r="V51" t="inlineStr">
        <is>
          <t>2007-02-14</t>
        </is>
      </c>
      <c r="W51" t="inlineStr">
        <is>
          <t>2007-02-14</t>
        </is>
      </c>
      <c r="X51" t="inlineStr">
        <is>
          <t>2007-02-14</t>
        </is>
      </c>
      <c r="Y51" t="n">
        <v>162</v>
      </c>
      <c r="Z51" t="n">
        <v>130</v>
      </c>
      <c r="AA51" t="n">
        <v>133</v>
      </c>
      <c r="AB51" t="n">
        <v>2</v>
      </c>
      <c r="AC51" t="n">
        <v>2</v>
      </c>
      <c r="AD51" t="n">
        <v>6</v>
      </c>
      <c r="AE51" t="n">
        <v>6</v>
      </c>
      <c r="AF51" t="n">
        <v>2</v>
      </c>
      <c r="AG51" t="n">
        <v>2</v>
      </c>
      <c r="AH51" t="n">
        <v>1</v>
      </c>
      <c r="AI51" t="n">
        <v>1</v>
      </c>
      <c r="AJ51" t="n">
        <v>5</v>
      </c>
      <c r="AK51" t="n">
        <v>5</v>
      </c>
      <c r="AL51" t="n">
        <v>1</v>
      </c>
      <c r="AM51" t="n">
        <v>1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HYPERLINK("http://catalog.hathitrust.org/Record/005699112","HathiTrust Record")</f>
        <v/>
      </c>
      <c r="AS51">
        <f>HYPERLINK("https://creighton-primo.hosted.exlibrisgroup.com/primo-explore/search?tab=default_tab&amp;search_scope=EVERYTHING&amp;vid=01CRU&amp;lang=en_US&amp;offset=0&amp;query=any,contains,991005034349702656","Catalog Record")</f>
        <v/>
      </c>
      <c r="AT51">
        <f>HYPERLINK("http://www.worldcat.org/oclc/60503182","WorldCat Record")</f>
        <v/>
      </c>
      <c r="AU51" t="inlineStr">
        <is>
          <t>196093982:eng</t>
        </is>
      </c>
      <c r="AV51" t="inlineStr">
        <is>
          <t>60503182</t>
        </is>
      </c>
      <c r="AW51" t="inlineStr">
        <is>
          <t>991005034349702656</t>
        </is>
      </c>
      <c r="AX51" t="inlineStr">
        <is>
          <t>991005034349702656</t>
        </is>
      </c>
      <c r="AY51" t="inlineStr">
        <is>
          <t>2268386630002656</t>
        </is>
      </c>
      <c r="AZ51" t="inlineStr">
        <is>
          <t>BOOK</t>
        </is>
      </c>
      <c r="BB51" t="inlineStr">
        <is>
          <t>9780761831037</t>
        </is>
      </c>
      <c r="BC51" t="inlineStr">
        <is>
          <t>32285005276539</t>
        </is>
      </c>
      <c r="BD51" t="inlineStr">
        <is>
          <t>893513933</t>
        </is>
      </c>
    </row>
    <row r="52">
      <c r="A52" t="inlineStr">
        <is>
          <t>No</t>
        </is>
      </c>
      <c r="B52" t="inlineStr">
        <is>
          <t>HV1448.G72 I734 2004</t>
        </is>
      </c>
      <c r="C52" t="inlineStr">
        <is>
          <t>0                      HV 1448000G  72                 I  734         2004</t>
        </is>
      </c>
      <c r="D52" t="inlineStr">
        <is>
          <t>Do penance or perish : Magdalen asylums in Ireland / Frances Finnegan.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Finnegan, Frances.</t>
        </is>
      </c>
      <c r="L52" t="inlineStr">
        <is>
          <t>Oxford ; New York : Oxford University Press, 2004.</t>
        </is>
      </c>
      <c r="M52" t="inlineStr">
        <is>
          <t>2004</t>
        </is>
      </c>
      <c r="N52" t="inlineStr">
        <is>
          <t>1st Oxford University Press ed.</t>
        </is>
      </c>
      <c r="O52" t="inlineStr">
        <is>
          <t>eng</t>
        </is>
      </c>
      <c r="P52" t="inlineStr">
        <is>
          <t>enk</t>
        </is>
      </c>
      <c r="R52" t="inlineStr">
        <is>
          <t xml:space="preserve">HV </t>
        </is>
      </c>
      <c r="S52" t="n">
        <v>1</v>
      </c>
      <c r="T52" t="n">
        <v>1</v>
      </c>
      <c r="U52" t="inlineStr">
        <is>
          <t>2005-05-10</t>
        </is>
      </c>
      <c r="V52" t="inlineStr">
        <is>
          <t>2005-05-10</t>
        </is>
      </c>
      <c r="W52" t="inlineStr">
        <is>
          <t>2005-05-10</t>
        </is>
      </c>
      <c r="X52" t="inlineStr">
        <is>
          <t>2005-05-10</t>
        </is>
      </c>
      <c r="Y52" t="n">
        <v>283</v>
      </c>
      <c r="Z52" t="n">
        <v>214</v>
      </c>
      <c r="AA52" t="n">
        <v>305</v>
      </c>
      <c r="AB52" t="n">
        <v>2</v>
      </c>
      <c r="AC52" t="n">
        <v>2</v>
      </c>
      <c r="AD52" t="n">
        <v>17</v>
      </c>
      <c r="AE52" t="n">
        <v>21</v>
      </c>
      <c r="AF52" t="n">
        <v>8</v>
      </c>
      <c r="AG52" t="n">
        <v>9</v>
      </c>
      <c r="AH52" t="n">
        <v>4</v>
      </c>
      <c r="AI52" t="n">
        <v>6</v>
      </c>
      <c r="AJ52" t="n">
        <v>12</v>
      </c>
      <c r="AK52" t="n">
        <v>14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HYPERLINK("https://creighton-primo.hosted.exlibrisgroup.com/primo-explore/search?tab=default_tab&amp;search_scope=EVERYTHING&amp;vid=01CRU&amp;lang=en_US&amp;offset=0&amp;query=any,contains,991004519579702656","Catalog Record")</f>
        <v/>
      </c>
      <c r="AT52">
        <f>HYPERLINK("http://www.worldcat.org/oclc/54349668","WorldCat Record")</f>
        <v/>
      </c>
      <c r="AU52" t="inlineStr">
        <is>
          <t>987435:eng</t>
        </is>
      </c>
      <c r="AV52" t="inlineStr">
        <is>
          <t>54349668</t>
        </is>
      </c>
      <c r="AW52" t="inlineStr">
        <is>
          <t>991004519579702656</t>
        </is>
      </c>
      <c r="AX52" t="inlineStr">
        <is>
          <t>991004519579702656</t>
        </is>
      </c>
      <c r="AY52" t="inlineStr">
        <is>
          <t>2268767460002656</t>
        </is>
      </c>
      <c r="AZ52" t="inlineStr">
        <is>
          <t>BOOK</t>
        </is>
      </c>
      <c r="BB52" t="inlineStr">
        <is>
          <t>9780195174601</t>
        </is>
      </c>
      <c r="BC52" t="inlineStr">
        <is>
          <t>32285005036842</t>
        </is>
      </c>
      <c r="BD52" t="inlineStr">
        <is>
          <t>893901314</t>
        </is>
      </c>
    </row>
    <row r="53">
      <c r="A53" t="inlineStr">
        <is>
          <t>No</t>
        </is>
      </c>
      <c r="B53" t="inlineStr">
        <is>
          <t>HV1448.S2 G65 1991</t>
        </is>
      </c>
      <c r="C53" t="inlineStr">
        <is>
          <t>0                      HV 1448000S  2                  G  65          1991</t>
        </is>
      </c>
      <c r="D53" t="inlineStr">
        <is>
          <t>The hour of the poor, the hour of women : Salvadoran women speak / Renny Golden.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Golden, Renny.</t>
        </is>
      </c>
      <c r="L53" t="inlineStr">
        <is>
          <t>New York : Crossroad, 1991.</t>
        </is>
      </c>
      <c r="M53" t="inlineStr">
        <is>
          <t>1991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HV </t>
        </is>
      </c>
      <c r="S53" t="n">
        <v>4</v>
      </c>
      <c r="T53" t="n">
        <v>4</v>
      </c>
      <c r="U53" t="inlineStr">
        <is>
          <t>2008-06-02</t>
        </is>
      </c>
      <c r="V53" t="inlineStr">
        <is>
          <t>2008-06-02</t>
        </is>
      </c>
      <c r="W53" t="inlineStr">
        <is>
          <t>1999-11-03</t>
        </is>
      </c>
      <c r="X53" t="inlineStr">
        <is>
          <t>1999-11-03</t>
        </is>
      </c>
      <c r="Y53" t="n">
        <v>496</v>
      </c>
      <c r="Z53" t="n">
        <v>448</v>
      </c>
      <c r="AA53" t="n">
        <v>451</v>
      </c>
      <c r="AB53" t="n">
        <v>4</v>
      </c>
      <c r="AC53" t="n">
        <v>4</v>
      </c>
      <c r="AD53" t="n">
        <v>28</v>
      </c>
      <c r="AE53" t="n">
        <v>28</v>
      </c>
      <c r="AF53" t="n">
        <v>10</v>
      </c>
      <c r="AG53" t="n">
        <v>10</v>
      </c>
      <c r="AH53" t="n">
        <v>8</v>
      </c>
      <c r="AI53" t="n">
        <v>8</v>
      </c>
      <c r="AJ53" t="n">
        <v>16</v>
      </c>
      <c r="AK53" t="n">
        <v>16</v>
      </c>
      <c r="AL53" t="n">
        <v>3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HYPERLINK("https://creighton-primo.hosted.exlibrisgroup.com/primo-explore/search?tab=default_tab&amp;search_scope=EVERYTHING&amp;vid=01CRU&amp;lang=en_US&amp;offset=0&amp;query=any,contains,991001865619702656","Catalog Record")</f>
        <v/>
      </c>
      <c r="AT53">
        <f>HYPERLINK("http://www.worldcat.org/oclc/23462900","WorldCat Record")</f>
        <v/>
      </c>
      <c r="AU53" t="inlineStr">
        <is>
          <t>365499493:eng</t>
        </is>
      </c>
      <c r="AV53" t="inlineStr">
        <is>
          <t>23462900</t>
        </is>
      </c>
      <c r="AW53" t="inlineStr">
        <is>
          <t>991001865619702656</t>
        </is>
      </c>
      <c r="AX53" t="inlineStr">
        <is>
          <t>991001865619702656</t>
        </is>
      </c>
      <c r="AY53" t="inlineStr">
        <is>
          <t>2255522400002656</t>
        </is>
      </c>
      <c r="AZ53" t="inlineStr">
        <is>
          <t>BOOK</t>
        </is>
      </c>
      <c r="BB53" t="inlineStr">
        <is>
          <t>9780824510886</t>
        </is>
      </c>
      <c r="BC53" t="inlineStr">
        <is>
          <t>32285003617478</t>
        </is>
      </c>
      <c r="BD53" t="inlineStr">
        <is>
          <t>893885603</t>
        </is>
      </c>
    </row>
    <row r="54">
      <c r="A54" t="inlineStr">
        <is>
          <t>No</t>
        </is>
      </c>
      <c r="B54" t="inlineStr">
        <is>
          <t>HV1449 .A66 1998</t>
        </is>
      </c>
      <c r="C54" t="inlineStr">
        <is>
          <t>0                      HV 1449000A  66          1998</t>
        </is>
      </c>
      <c r="D54" t="inlineStr">
        <is>
          <t>Not just a passing phase : social work with gay, lesbian, and bisexual people / George Alan Appleby and Jeane W. Anastas.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Appleby, George A., 1942-</t>
        </is>
      </c>
      <c r="L54" t="inlineStr">
        <is>
          <t>New York : Columbia University Press, 1998.</t>
        </is>
      </c>
      <c r="M54" t="inlineStr">
        <is>
          <t>1998</t>
        </is>
      </c>
      <c r="O54" t="inlineStr">
        <is>
          <t>eng</t>
        </is>
      </c>
      <c r="P54" t="inlineStr">
        <is>
          <t>nyu</t>
        </is>
      </c>
      <c r="Q54" t="inlineStr">
        <is>
          <t>Social work knowledge</t>
        </is>
      </c>
      <c r="R54" t="inlineStr">
        <is>
          <t xml:space="preserve">HV </t>
        </is>
      </c>
      <c r="S54" t="n">
        <v>2</v>
      </c>
      <c r="T54" t="n">
        <v>2</v>
      </c>
      <c r="U54" t="inlineStr">
        <is>
          <t>2005-12-04</t>
        </is>
      </c>
      <c r="V54" t="inlineStr">
        <is>
          <t>2005-12-04</t>
        </is>
      </c>
      <c r="W54" t="inlineStr">
        <is>
          <t>2001-12-19</t>
        </is>
      </c>
      <c r="X54" t="inlineStr">
        <is>
          <t>2001-12-19</t>
        </is>
      </c>
      <c r="Y54" t="n">
        <v>362</v>
      </c>
      <c r="Z54" t="n">
        <v>310</v>
      </c>
      <c r="AA54" t="n">
        <v>315</v>
      </c>
      <c r="AB54" t="n">
        <v>3</v>
      </c>
      <c r="AC54" t="n">
        <v>3</v>
      </c>
      <c r="AD54" t="n">
        <v>17</v>
      </c>
      <c r="AE54" t="n">
        <v>17</v>
      </c>
      <c r="AF54" t="n">
        <v>7</v>
      </c>
      <c r="AG54" t="n">
        <v>7</v>
      </c>
      <c r="AH54" t="n">
        <v>4</v>
      </c>
      <c r="AI54" t="n">
        <v>4</v>
      </c>
      <c r="AJ54" t="n">
        <v>7</v>
      </c>
      <c r="AK54" t="n">
        <v>7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HYPERLINK("https://creighton-primo.hosted.exlibrisgroup.com/primo-explore/search?tab=default_tab&amp;search_scope=EVERYTHING&amp;vid=01CRU&amp;lang=en_US&amp;offset=0&amp;query=any,contains,991003662089702656","Catalog Record")</f>
        <v/>
      </c>
      <c r="AT54">
        <f>HYPERLINK("http://www.worldcat.org/oclc/37640490","WorldCat Record")</f>
        <v/>
      </c>
      <c r="AU54" t="inlineStr">
        <is>
          <t>602227:eng</t>
        </is>
      </c>
      <c r="AV54" t="inlineStr">
        <is>
          <t>37640490</t>
        </is>
      </c>
      <c r="AW54" t="inlineStr">
        <is>
          <t>991003662089702656</t>
        </is>
      </c>
      <c r="AX54" t="inlineStr">
        <is>
          <t>991003662089702656</t>
        </is>
      </c>
      <c r="AY54" t="inlineStr">
        <is>
          <t>2269091130002656</t>
        </is>
      </c>
      <c r="AZ54" t="inlineStr">
        <is>
          <t>BOOK</t>
        </is>
      </c>
      <c r="BB54" t="inlineStr">
        <is>
          <t>9780231103220</t>
        </is>
      </c>
      <c r="BC54" t="inlineStr">
        <is>
          <t>32285004429691</t>
        </is>
      </c>
      <c r="BD54" t="inlineStr">
        <is>
          <t>893228291</t>
        </is>
      </c>
    </row>
    <row r="55">
      <c r="A55" t="inlineStr">
        <is>
          <t>No</t>
        </is>
      </c>
      <c r="B55" t="inlineStr">
        <is>
          <t>HV1449 .H45 1994</t>
        </is>
      </c>
      <c r="C55" t="inlineStr">
        <is>
          <t>0                      HV 1449000H  45          1994</t>
        </is>
      </c>
      <c r="D55" t="inlineStr">
        <is>
          <t>Helping gay and lesbian youth : new policies, new programs, new practice / Teresa DeCrescenzo, editor.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New York : Haworth Press, c1994.</t>
        </is>
      </c>
      <c r="M55" t="inlineStr">
        <is>
          <t>1994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HV </t>
        </is>
      </c>
      <c r="S55" t="n">
        <v>1</v>
      </c>
      <c r="T55" t="n">
        <v>1</v>
      </c>
      <c r="U55" t="inlineStr">
        <is>
          <t>2004-06-06</t>
        </is>
      </c>
      <c r="V55" t="inlineStr">
        <is>
          <t>2004-06-06</t>
        </is>
      </c>
      <c r="W55" t="inlineStr">
        <is>
          <t>1996-11-13</t>
        </is>
      </c>
      <c r="X55" t="inlineStr">
        <is>
          <t>1996-11-13</t>
        </is>
      </c>
      <c r="Y55" t="n">
        <v>225</v>
      </c>
      <c r="Z55" t="n">
        <v>187</v>
      </c>
      <c r="AA55" t="n">
        <v>205</v>
      </c>
      <c r="AB55" t="n">
        <v>2</v>
      </c>
      <c r="AC55" t="n">
        <v>2</v>
      </c>
      <c r="AD55" t="n">
        <v>5</v>
      </c>
      <c r="AE55" t="n">
        <v>7</v>
      </c>
      <c r="AF55" t="n">
        <v>2</v>
      </c>
      <c r="AG55" t="n">
        <v>3</v>
      </c>
      <c r="AH55" t="n">
        <v>1</v>
      </c>
      <c r="AI55" t="n">
        <v>2</v>
      </c>
      <c r="AJ55" t="n">
        <v>4</v>
      </c>
      <c r="AK55" t="n">
        <v>4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HYPERLINK("http://catalog.hathitrust.org/Record/003011589","HathiTrust Record")</f>
        <v/>
      </c>
      <c r="AS55">
        <f>HYPERLINK("https://creighton-primo.hosted.exlibrisgroup.com/primo-explore/search?tab=default_tab&amp;search_scope=EVERYTHING&amp;vid=01CRU&amp;lang=en_US&amp;offset=0&amp;query=any,contains,991002383229702656","Catalog Record")</f>
        <v/>
      </c>
      <c r="AT55">
        <f>HYPERLINK("http://www.worldcat.org/oclc/30974031","WorldCat Record")</f>
        <v/>
      </c>
      <c r="AU55" t="inlineStr">
        <is>
          <t>324707:eng</t>
        </is>
      </c>
      <c r="AV55" t="inlineStr">
        <is>
          <t>30974031</t>
        </is>
      </c>
      <c r="AW55" t="inlineStr">
        <is>
          <t>991002383229702656</t>
        </is>
      </c>
      <c r="AX55" t="inlineStr">
        <is>
          <t>991002383229702656</t>
        </is>
      </c>
      <c r="AY55" t="inlineStr">
        <is>
          <t>2260106340002656</t>
        </is>
      </c>
      <c r="AZ55" t="inlineStr">
        <is>
          <t>BOOK</t>
        </is>
      </c>
      <c r="BB55" t="inlineStr">
        <is>
          <t>9781560230571</t>
        </is>
      </c>
      <c r="BC55" t="inlineStr">
        <is>
          <t>32285002372331</t>
        </is>
      </c>
      <c r="BD55" t="inlineStr">
        <is>
          <t>893226777</t>
        </is>
      </c>
    </row>
    <row r="56">
      <c r="A56" t="inlineStr">
        <is>
          <t>No</t>
        </is>
      </c>
      <c r="B56" t="inlineStr">
        <is>
          <t>HV1449 .H58 1995</t>
        </is>
      </c>
      <c r="C56" t="inlineStr">
        <is>
          <t>0                      HV 1449000H  58          1995</t>
        </is>
      </c>
      <c r="D56" t="inlineStr">
        <is>
          <t>HIV disease : lesbians, gays, and the social services / Gary A. Lloyd, Mary Ann Kuszelewicz, editors.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New York : Haworth Press, c1995.</t>
        </is>
      </c>
      <c r="M56" t="inlineStr">
        <is>
          <t>1995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HV </t>
        </is>
      </c>
      <c r="S56" t="n">
        <v>3</v>
      </c>
      <c r="T56" t="n">
        <v>3</v>
      </c>
      <c r="U56" t="inlineStr">
        <is>
          <t>2009-10-05</t>
        </is>
      </c>
      <c r="V56" t="inlineStr">
        <is>
          <t>2009-10-05</t>
        </is>
      </c>
      <c r="W56" t="inlineStr">
        <is>
          <t>1996-09-25</t>
        </is>
      </c>
      <c r="X56" t="inlineStr">
        <is>
          <t>1996-09-25</t>
        </is>
      </c>
      <c r="Y56" t="n">
        <v>166</v>
      </c>
      <c r="Z56" t="n">
        <v>141</v>
      </c>
      <c r="AA56" t="n">
        <v>142</v>
      </c>
      <c r="AB56" t="n">
        <v>1</v>
      </c>
      <c r="AC56" t="n">
        <v>1</v>
      </c>
      <c r="AD56" t="n">
        <v>8</v>
      </c>
      <c r="AE56" t="n">
        <v>8</v>
      </c>
      <c r="AF56" t="n">
        <v>2</v>
      </c>
      <c r="AG56" t="n">
        <v>2</v>
      </c>
      <c r="AH56" t="n">
        <v>2</v>
      </c>
      <c r="AI56" t="n">
        <v>2</v>
      </c>
      <c r="AJ56" t="n">
        <v>6</v>
      </c>
      <c r="AK56" t="n">
        <v>6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HYPERLINK("http://catalog.hathitrust.org/Record/002996491","HathiTrust Record")</f>
        <v/>
      </c>
      <c r="AS56">
        <f>HYPERLINK("https://creighton-primo.hosted.exlibrisgroup.com/primo-explore/search?tab=default_tab&amp;search_scope=EVERYTHING&amp;vid=01CRU&amp;lang=en_US&amp;offset=0&amp;query=any,contains,991002510849702656","Catalog Record")</f>
        <v/>
      </c>
      <c r="AT56">
        <f>HYPERLINK("http://www.worldcat.org/oclc/32664869","WorldCat Record")</f>
        <v/>
      </c>
      <c r="AU56" t="inlineStr">
        <is>
          <t>365560751:eng</t>
        </is>
      </c>
      <c r="AV56" t="inlineStr">
        <is>
          <t>32664869</t>
        </is>
      </c>
      <c r="AW56" t="inlineStr">
        <is>
          <t>991002510849702656</t>
        </is>
      </c>
      <c r="AX56" t="inlineStr">
        <is>
          <t>991002510849702656</t>
        </is>
      </c>
      <c r="AY56" t="inlineStr">
        <is>
          <t>2265565980002656</t>
        </is>
      </c>
      <c r="AZ56" t="inlineStr">
        <is>
          <t>BOOK</t>
        </is>
      </c>
      <c r="BB56" t="inlineStr">
        <is>
          <t>9781560230700</t>
        </is>
      </c>
      <c r="BC56" t="inlineStr">
        <is>
          <t>32285002319779</t>
        </is>
      </c>
      <c r="BD56" t="inlineStr">
        <is>
          <t>893498208</t>
        </is>
      </c>
    </row>
    <row r="57">
      <c r="A57" t="inlineStr">
        <is>
          <t>No</t>
        </is>
      </c>
      <c r="B57" t="inlineStr">
        <is>
          <t>HV1451 .C65 1986</t>
        </is>
      </c>
      <c r="C57" t="inlineStr">
        <is>
          <t>0                      HV 1451000C  65          1986</t>
        </is>
      </c>
      <c r="D57" t="inlineStr">
        <is>
          <t>Aging around the world / Donald O. Cowgill.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Cowgill, Donald O. (Donald Olen), 1911-</t>
        </is>
      </c>
      <c r="L57" t="inlineStr">
        <is>
          <t>Belmont, Calif. : Wadsworth Pub. Co., c1986.</t>
        </is>
      </c>
      <c r="M57" t="inlineStr">
        <is>
          <t>1986</t>
        </is>
      </c>
      <c r="O57" t="inlineStr">
        <is>
          <t>eng</t>
        </is>
      </c>
      <c r="P57" t="inlineStr">
        <is>
          <t>cau</t>
        </is>
      </c>
      <c r="R57" t="inlineStr">
        <is>
          <t xml:space="preserve">HV </t>
        </is>
      </c>
      <c r="S57" t="n">
        <v>7</v>
      </c>
      <c r="T57" t="n">
        <v>7</v>
      </c>
      <c r="U57" t="inlineStr">
        <is>
          <t>2005-03-09</t>
        </is>
      </c>
      <c r="V57" t="inlineStr">
        <is>
          <t>2005-03-09</t>
        </is>
      </c>
      <c r="W57" t="inlineStr">
        <is>
          <t>1992-06-24</t>
        </is>
      </c>
      <c r="X57" t="inlineStr">
        <is>
          <t>1992-06-24</t>
        </is>
      </c>
      <c r="Y57" t="n">
        <v>345</v>
      </c>
      <c r="Z57" t="n">
        <v>279</v>
      </c>
      <c r="AA57" t="n">
        <v>286</v>
      </c>
      <c r="AB57" t="n">
        <v>4</v>
      </c>
      <c r="AC57" t="n">
        <v>4</v>
      </c>
      <c r="AD57" t="n">
        <v>14</v>
      </c>
      <c r="AE57" t="n">
        <v>14</v>
      </c>
      <c r="AF57" t="n">
        <v>3</v>
      </c>
      <c r="AG57" t="n">
        <v>3</v>
      </c>
      <c r="AH57" t="n">
        <v>3</v>
      </c>
      <c r="AI57" t="n">
        <v>3</v>
      </c>
      <c r="AJ57" t="n">
        <v>7</v>
      </c>
      <c r="AK57" t="n">
        <v>7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HYPERLINK("http://catalog.hathitrust.org/Record/000352841","HathiTrust Record")</f>
        <v/>
      </c>
      <c r="AS57">
        <f>HYPERLINK("https://creighton-primo.hosted.exlibrisgroup.com/primo-explore/search?tab=default_tab&amp;search_scope=EVERYTHING&amp;vid=01CRU&amp;lang=en_US&amp;offset=0&amp;query=any,contains,991000614179702656","Catalog Record")</f>
        <v/>
      </c>
      <c r="AT57">
        <f>HYPERLINK("http://www.worldcat.org/oclc/11918500","WorldCat Record")</f>
        <v/>
      </c>
      <c r="AU57" t="inlineStr">
        <is>
          <t>4471386:eng</t>
        </is>
      </c>
      <c r="AV57" t="inlineStr">
        <is>
          <t>11918500</t>
        </is>
      </c>
      <c r="AW57" t="inlineStr">
        <is>
          <t>991000614179702656</t>
        </is>
      </c>
      <c r="AX57" t="inlineStr">
        <is>
          <t>991000614179702656</t>
        </is>
      </c>
      <c r="AY57" t="inlineStr">
        <is>
          <t>2259559080002656</t>
        </is>
      </c>
      <c r="AZ57" t="inlineStr">
        <is>
          <t>BOOK</t>
        </is>
      </c>
      <c r="BB57" t="inlineStr">
        <is>
          <t>9780534051662</t>
        </is>
      </c>
      <c r="BC57" t="inlineStr">
        <is>
          <t>32285001180099</t>
        </is>
      </c>
      <c r="BD57" t="inlineStr">
        <is>
          <t>893432121</t>
        </is>
      </c>
    </row>
    <row r="58">
      <c r="A58" t="inlineStr">
        <is>
          <t>No</t>
        </is>
      </c>
      <c r="B58" t="inlineStr">
        <is>
          <t>HV1451 .F35 1992</t>
        </is>
      </c>
      <c r="C58" t="inlineStr">
        <is>
          <t>0                      HV 1451000F  35          1992</t>
        </is>
      </c>
      <c r="D58" t="inlineStr">
        <is>
          <t>Family care of the elderly : social and cultural changes / Jordan I. Kosberg, editor.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Newbury Park, Calif. : SAGE Publications, c1992.</t>
        </is>
      </c>
      <c r="M58" t="inlineStr">
        <is>
          <t>1992</t>
        </is>
      </c>
      <c r="O58" t="inlineStr">
        <is>
          <t>eng</t>
        </is>
      </c>
      <c r="P58" t="inlineStr">
        <is>
          <t>cau</t>
        </is>
      </c>
      <c r="Q58" t="inlineStr">
        <is>
          <t>Sage focus editions</t>
        </is>
      </c>
      <c r="R58" t="inlineStr">
        <is>
          <t xml:space="preserve">HV </t>
        </is>
      </c>
      <c r="S58" t="n">
        <v>13</v>
      </c>
      <c r="T58" t="n">
        <v>13</v>
      </c>
      <c r="U58" t="inlineStr">
        <is>
          <t>2005-04-19</t>
        </is>
      </c>
      <c r="V58" t="inlineStr">
        <is>
          <t>2005-04-19</t>
        </is>
      </c>
      <c r="W58" t="inlineStr">
        <is>
          <t>1993-03-04</t>
        </is>
      </c>
      <c r="X58" t="inlineStr">
        <is>
          <t>1993-03-04</t>
        </is>
      </c>
      <c r="Y58" t="n">
        <v>415</v>
      </c>
      <c r="Z58" t="n">
        <v>318</v>
      </c>
      <c r="AA58" t="n">
        <v>320</v>
      </c>
      <c r="AB58" t="n">
        <v>4</v>
      </c>
      <c r="AC58" t="n">
        <v>4</v>
      </c>
      <c r="AD58" t="n">
        <v>17</v>
      </c>
      <c r="AE58" t="n">
        <v>17</v>
      </c>
      <c r="AF58" t="n">
        <v>6</v>
      </c>
      <c r="AG58" t="n">
        <v>6</v>
      </c>
      <c r="AH58" t="n">
        <v>4</v>
      </c>
      <c r="AI58" t="n">
        <v>4</v>
      </c>
      <c r="AJ58" t="n">
        <v>9</v>
      </c>
      <c r="AK58" t="n">
        <v>9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HYPERLINK("http://catalog.hathitrust.org/Record/002575312","HathiTrust Record")</f>
        <v/>
      </c>
      <c r="AS58">
        <f>HYPERLINK("https://creighton-primo.hosted.exlibrisgroup.com/primo-explore/search?tab=default_tab&amp;search_scope=EVERYTHING&amp;vid=01CRU&amp;lang=en_US&amp;offset=0&amp;query=any,contains,991002053279702656","Catalog Record")</f>
        <v/>
      </c>
      <c r="AT58">
        <f>HYPERLINK("http://www.worldcat.org/oclc/26218918","WorldCat Record")</f>
        <v/>
      </c>
      <c r="AU58" t="inlineStr">
        <is>
          <t>836923834:eng</t>
        </is>
      </c>
      <c r="AV58" t="inlineStr">
        <is>
          <t>26218918</t>
        </is>
      </c>
      <c r="AW58" t="inlineStr">
        <is>
          <t>991002053279702656</t>
        </is>
      </c>
      <c r="AX58" t="inlineStr">
        <is>
          <t>991002053279702656</t>
        </is>
      </c>
      <c r="AY58" t="inlineStr">
        <is>
          <t>2265258330002656</t>
        </is>
      </c>
      <c r="AZ58" t="inlineStr">
        <is>
          <t>BOOK</t>
        </is>
      </c>
      <c r="BB58" t="inlineStr">
        <is>
          <t>9780803942790</t>
        </is>
      </c>
      <c r="BC58" t="inlineStr">
        <is>
          <t>32285001496925</t>
        </is>
      </c>
      <c r="BD58" t="inlineStr">
        <is>
          <t>893347049</t>
        </is>
      </c>
    </row>
    <row r="59">
      <c r="A59" t="inlineStr">
        <is>
          <t>No</t>
        </is>
      </c>
      <c r="B59" t="inlineStr">
        <is>
          <t>HV1451 .G725 1994</t>
        </is>
      </c>
      <c r="C59" t="inlineStr">
        <is>
          <t>0                      HV 1451000G  725         1994</t>
        </is>
      </c>
      <c r="D59" t="inlineStr">
        <is>
          <t>The graying of the world : who will care for the frail elderly? / Laura Katz Olson, editor.</t>
        </is>
      </c>
      <c r="F59" t="inlineStr">
        <is>
          <t>No</t>
        </is>
      </c>
      <c r="G59" t="inlineStr">
        <is>
          <t>1</t>
        </is>
      </c>
      <c r="H59" t="inlineStr">
        <is>
          <t>Yes</t>
        </is>
      </c>
      <c r="I59" t="inlineStr">
        <is>
          <t>No</t>
        </is>
      </c>
      <c r="J59" t="inlineStr">
        <is>
          <t>0</t>
        </is>
      </c>
      <c r="L59" t="inlineStr">
        <is>
          <t>New York : Haworth Press, c1994.</t>
        </is>
      </c>
      <c r="M59" t="inlineStr">
        <is>
          <t>1994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HV </t>
        </is>
      </c>
      <c r="S59" t="n">
        <v>11</v>
      </c>
      <c r="T59" t="n">
        <v>24</v>
      </c>
      <c r="U59" t="inlineStr">
        <is>
          <t>2005-04-19</t>
        </is>
      </c>
      <c r="V59" t="inlineStr">
        <is>
          <t>2005-04-19</t>
        </is>
      </c>
      <c r="W59" t="inlineStr">
        <is>
          <t>1995-06-29</t>
        </is>
      </c>
      <c r="X59" t="inlineStr">
        <is>
          <t>1995-07-28</t>
        </is>
      </c>
      <c r="Y59" t="n">
        <v>686</v>
      </c>
      <c r="Z59" t="n">
        <v>584</v>
      </c>
      <c r="AA59" t="n">
        <v>586</v>
      </c>
      <c r="AB59" t="n">
        <v>5</v>
      </c>
      <c r="AC59" t="n">
        <v>5</v>
      </c>
      <c r="AD59" t="n">
        <v>25</v>
      </c>
      <c r="AE59" t="n">
        <v>25</v>
      </c>
      <c r="AF59" t="n">
        <v>9</v>
      </c>
      <c r="AG59" t="n">
        <v>9</v>
      </c>
      <c r="AH59" t="n">
        <v>4</v>
      </c>
      <c r="AI59" t="n">
        <v>4</v>
      </c>
      <c r="AJ59" t="n">
        <v>11</v>
      </c>
      <c r="AK59" t="n">
        <v>11</v>
      </c>
      <c r="AL59" t="n">
        <v>3</v>
      </c>
      <c r="AM59" t="n">
        <v>3</v>
      </c>
      <c r="AN59" t="n">
        <v>2</v>
      </c>
      <c r="AO59" t="n">
        <v>2</v>
      </c>
      <c r="AP59" t="inlineStr">
        <is>
          <t>No</t>
        </is>
      </c>
      <c r="AQ59" t="inlineStr">
        <is>
          <t>Yes</t>
        </is>
      </c>
      <c r="AR59">
        <f>HYPERLINK("http://catalog.hathitrust.org/Record/002878129","HathiTrust Record")</f>
        <v/>
      </c>
      <c r="AS59">
        <f>HYPERLINK("https://creighton-primo.hosted.exlibrisgroup.com/primo-explore/search?tab=default_tab&amp;search_scope=EVERYTHING&amp;vid=01CRU&amp;lang=en_US&amp;offset=0&amp;query=any,contains,991001798719702656","Catalog Record")</f>
        <v/>
      </c>
      <c r="AT59">
        <f>HYPERLINK("http://www.worldcat.org/oclc/26129782","WorldCat Record")</f>
        <v/>
      </c>
      <c r="AU59" t="inlineStr">
        <is>
          <t>890975809:eng</t>
        </is>
      </c>
      <c r="AV59" t="inlineStr">
        <is>
          <t>26129782</t>
        </is>
      </c>
      <c r="AW59" t="inlineStr">
        <is>
          <t>991001798719702656</t>
        </is>
      </c>
      <c r="AX59" t="inlineStr">
        <is>
          <t>991001798719702656</t>
        </is>
      </c>
      <c r="AY59" t="inlineStr">
        <is>
          <t>2270945490002656</t>
        </is>
      </c>
      <c r="AZ59" t="inlineStr">
        <is>
          <t>BOOK</t>
        </is>
      </c>
      <c r="BB59" t="inlineStr">
        <is>
          <t>9781560243632</t>
        </is>
      </c>
      <c r="BC59" t="inlineStr">
        <is>
          <t>32285002053006</t>
        </is>
      </c>
      <c r="BD59" t="inlineStr">
        <is>
          <t>893340708</t>
        </is>
      </c>
    </row>
    <row r="60">
      <c r="A60" t="inlineStr">
        <is>
          <t>No</t>
        </is>
      </c>
      <c r="B60" t="inlineStr">
        <is>
          <t>HV1451 .H63 1990</t>
        </is>
      </c>
      <c r="C60" t="inlineStr">
        <is>
          <t>0                      HV 1451000H  63          1990</t>
        </is>
      </c>
      <c r="D60" t="inlineStr">
        <is>
          <t>The Home care experience : ethnography and policy / edited by Jaber F. Gubrium, Andrea Sankar.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Newbury Park, Calif. : Sage Publications, c1990.</t>
        </is>
      </c>
      <c r="M60" t="inlineStr">
        <is>
          <t>1990</t>
        </is>
      </c>
      <c r="O60" t="inlineStr">
        <is>
          <t>eng</t>
        </is>
      </c>
      <c r="P60" t="inlineStr">
        <is>
          <t>cau</t>
        </is>
      </c>
      <c r="Q60" t="inlineStr">
        <is>
          <t>Sage focus editions ; 119</t>
        </is>
      </c>
      <c r="R60" t="inlineStr">
        <is>
          <t xml:space="preserve">HV </t>
        </is>
      </c>
      <c r="S60" t="n">
        <v>6</v>
      </c>
      <c r="T60" t="n">
        <v>6</v>
      </c>
      <c r="U60" t="inlineStr">
        <is>
          <t>2001-11-18</t>
        </is>
      </c>
      <c r="V60" t="inlineStr">
        <is>
          <t>2001-11-18</t>
        </is>
      </c>
      <c r="W60" t="inlineStr">
        <is>
          <t>1991-04-09</t>
        </is>
      </c>
      <c r="X60" t="inlineStr">
        <is>
          <t>1991-04-09</t>
        </is>
      </c>
      <c r="Y60" t="n">
        <v>353</v>
      </c>
      <c r="Z60" t="n">
        <v>261</v>
      </c>
      <c r="AA60" t="n">
        <v>268</v>
      </c>
      <c r="AB60" t="n">
        <v>4</v>
      </c>
      <c r="AC60" t="n">
        <v>4</v>
      </c>
      <c r="AD60" t="n">
        <v>15</v>
      </c>
      <c r="AE60" t="n">
        <v>15</v>
      </c>
      <c r="AF60" t="n">
        <v>3</v>
      </c>
      <c r="AG60" t="n">
        <v>3</v>
      </c>
      <c r="AH60" t="n">
        <v>3</v>
      </c>
      <c r="AI60" t="n">
        <v>3</v>
      </c>
      <c r="AJ60" t="n">
        <v>8</v>
      </c>
      <c r="AK60" t="n">
        <v>8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HYPERLINK("http://catalog.hathitrust.org/Record/002205613","HathiTrust Record")</f>
        <v/>
      </c>
      <c r="AS60">
        <f>HYPERLINK("https://creighton-primo.hosted.exlibrisgroup.com/primo-explore/search?tab=default_tab&amp;search_scope=EVERYTHING&amp;vid=01CRU&amp;lang=en_US&amp;offset=0&amp;query=any,contains,991001667969702656","Catalog Record")</f>
        <v/>
      </c>
      <c r="AT60">
        <f>HYPERLINK("http://www.worldcat.org/oclc/21229131","WorldCat Record")</f>
        <v/>
      </c>
      <c r="AU60" t="inlineStr">
        <is>
          <t>836869109:eng</t>
        </is>
      </c>
      <c r="AV60" t="inlineStr">
        <is>
          <t>21229131</t>
        </is>
      </c>
      <c r="AW60" t="inlineStr">
        <is>
          <t>991001667969702656</t>
        </is>
      </c>
      <c r="AX60" t="inlineStr">
        <is>
          <t>991001667969702656</t>
        </is>
      </c>
      <c r="AY60" t="inlineStr">
        <is>
          <t>2270484100002656</t>
        </is>
      </c>
      <c r="AZ60" t="inlineStr">
        <is>
          <t>BOOK</t>
        </is>
      </c>
      <c r="BB60" t="inlineStr">
        <is>
          <t>9780803935280</t>
        </is>
      </c>
      <c r="BC60" t="inlineStr">
        <is>
          <t>32285000566835</t>
        </is>
      </c>
      <c r="BD60" t="inlineStr">
        <is>
          <t>893322135</t>
        </is>
      </c>
    </row>
    <row r="61">
      <c r="A61" t="inlineStr">
        <is>
          <t>No</t>
        </is>
      </c>
      <c r="B61" t="inlineStr">
        <is>
          <t>HV1451 .K3 1979</t>
        </is>
      </c>
      <c r="C61" t="inlineStr">
        <is>
          <t>0                      HV 1451000K  3           1979</t>
        </is>
      </c>
      <c r="D61" t="inlineStr">
        <is>
          <t>Growing old : years of fulfillment / Robert Kastenbaum.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Kastenbaum, Robert.</t>
        </is>
      </c>
      <c r="L61" t="inlineStr">
        <is>
          <t>New York : Harper &amp; Row, c1979.</t>
        </is>
      </c>
      <c r="M61" t="inlineStr">
        <is>
          <t>1979</t>
        </is>
      </c>
      <c r="O61" t="inlineStr">
        <is>
          <t>eng</t>
        </is>
      </c>
      <c r="P61" t="inlineStr">
        <is>
          <t>nyu</t>
        </is>
      </c>
      <c r="Q61" t="inlineStr">
        <is>
          <t>The Life cycle series</t>
        </is>
      </c>
      <c r="R61" t="inlineStr">
        <is>
          <t xml:space="preserve">HV </t>
        </is>
      </c>
      <c r="S61" t="n">
        <v>7</v>
      </c>
      <c r="T61" t="n">
        <v>7</v>
      </c>
      <c r="U61" t="inlineStr">
        <is>
          <t>2002-04-15</t>
        </is>
      </c>
      <c r="V61" t="inlineStr">
        <is>
          <t>2002-04-15</t>
        </is>
      </c>
      <c r="W61" t="inlineStr">
        <is>
          <t>1992-06-24</t>
        </is>
      </c>
      <c r="X61" t="inlineStr">
        <is>
          <t>1992-06-24</t>
        </is>
      </c>
      <c r="Y61" t="n">
        <v>201</v>
      </c>
      <c r="Z61" t="n">
        <v>181</v>
      </c>
      <c r="AA61" t="n">
        <v>245</v>
      </c>
      <c r="AB61" t="n">
        <v>3</v>
      </c>
      <c r="AC61" t="n">
        <v>6</v>
      </c>
      <c r="AD61" t="n">
        <v>7</v>
      </c>
      <c r="AE61" t="n">
        <v>8</v>
      </c>
      <c r="AF61" t="n">
        <v>5</v>
      </c>
      <c r="AG61" t="n">
        <v>5</v>
      </c>
      <c r="AH61" t="n">
        <v>0</v>
      </c>
      <c r="AI61" t="n">
        <v>0</v>
      </c>
      <c r="AJ61" t="n">
        <v>4</v>
      </c>
      <c r="AK61" t="n">
        <v>5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HYPERLINK("http://catalog.hathitrust.org/Record/000116032","HathiTrust Record")</f>
        <v/>
      </c>
      <c r="AS61">
        <f>HYPERLINK("https://creighton-primo.hosted.exlibrisgroup.com/primo-explore/search?tab=default_tab&amp;search_scope=EVERYTHING&amp;vid=01CRU&amp;lang=en_US&amp;offset=0&amp;query=any,contains,991005264849702656","Catalog Record")</f>
        <v/>
      </c>
      <c r="AT61">
        <f>HYPERLINK("http://www.worldcat.org/oclc/6022438","WorldCat Record")</f>
        <v/>
      </c>
      <c r="AU61" t="inlineStr">
        <is>
          <t>836667464:eng</t>
        </is>
      </c>
      <c r="AV61" t="inlineStr">
        <is>
          <t>6022438</t>
        </is>
      </c>
      <c r="AW61" t="inlineStr">
        <is>
          <t>991005264849702656</t>
        </is>
      </c>
      <c r="AX61" t="inlineStr">
        <is>
          <t>991005264849702656</t>
        </is>
      </c>
      <c r="AY61" t="inlineStr">
        <is>
          <t>2255503330002656</t>
        </is>
      </c>
      <c r="AZ61" t="inlineStr">
        <is>
          <t>BOOK</t>
        </is>
      </c>
      <c r="BB61" t="inlineStr">
        <is>
          <t>9780063847507</t>
        </is>
      </c>
      <c r="BC61" t="inlineStr">
        <is>
          <t>32285001180131</t>
        </is>
      </c>
      <c r="BD61" t="inlineStr">
        <is>
          <t>893501604</t>
        </is>
      </c>
    </row>
    <row r="62">
      <c r="A62" t="inlineStr">
        <is>
          <t>No</t>
        </is>
      </c>
      <c r="B62" t="inlineStr">
        <is>
          <t>HV1451 .K59 1982</t>
        </is>
      </c>
      <c r="C62" t="inlineStr">
        <is>
          <t>0                      HV 1451000K  59          1982</t>
        </is>
      </c>
      <c r="D62" t="inlineStr">
        <is>
          <t>Long-term care, an approach to serving the frail elderly / Theodore H. Koff.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Koff, Theodore H.</t>
        </is>
      </c>
      <c r="L62" t="inlineStr">
        <is>
          <t>Boston : Little, Brown, c1982.</t>
        </is>
      </c>
      <c r="M62" t="inlineStr">
        <is>
          <t>1982</t>
        </is>
      </c>
      <c r="O62" t="inlineStr">
        <is>
          <t>eng</t>
        </is>
      </c>
      <c r="P62" t="inlineStr">
        <is>
          <t>mau</t>
        </is>
      </c>
      <c r="Q62" t="inlineStr">
        <is>
          <t>Little, Brown series on gerontology</t>
        </is>
      </c>
      <c r="R62" t="inlineStr">
        <is>
          <t xml:space="preserve">HV </t>
        </is>
      </c>
      <c r="S62" t="n">
        <v>5</v>
      </c>
      <c r="T62" t="n">
        <v>5</v>
      </c>
      <c r="U62" t="inlineStr">
        <is>
          <t>2001-11-18</t>
        </is>
      </c>
      <c r="V62" t="inlineStr">
        <is>
          <t>2001-11-18</t>
        </is>
      </c>
      <c r="W62" t="inlineStr">
        <is>
          <t>1991-12-12</t>
        </is>
      </c>
      <c r="X62" t="inlineStr">
        <is>
          <t>1991-12-12</t>
        </is>
      </c>
      <c r="Y62" t="n">
        <v>251</v>
      </c>
      <c r="Z62" t="n">
        <v>203</v>
      </c>
      <c r="AA62" t="n">
        <v>210</v>
      </c>
      <c r="AB62" t="n">
        <v>4</v>
      </c>
      <c r="AC62" t="n">
        <v>4</v>
      </c>
      <c r="AD62" t="n">
        <v>14</v>
      </c>
      <c r="AE62" t="n">
        <v>14</v>
      </c>
      <c r="AF62" t="n">
        <v>4</v>
      </c>
      <c r="AG62" t="n">
        <v>4</v>
      </c>
      <c r="AH62" t="n">
        <v>2</v>
      </c>
      <c r="AI62" t="n">
        <v>2</v>
      </c>
      <c r="AJ62" t="n">
        <v>6</v>
      </c>
      <c r="AK62" t="n">
        <v>6</v>
      </c>
      <c r="AL62" t="n">
        <v>3</v>
      </c>
      <c r="AM62" t="n">
        <v>3</v>
      </c>
      <c r="AN62" t="n">
        <v>1</v>
      </c>
      <c r="AO62" t="n">
        <v>1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HYPERLINK("http://catalog.hathitrust.org/Record/000161269","HathiTrust Record")</f>
        <v/>
      </c>
      <c r="AS62">
        <f>HYPERLINK("https://creighton-primo.hosted.exlibrisgroup.com/primo-explore/search?tab=default_tab&amp;search_scope=EVERYTHING&amp;vid=01CRU&amp;lang=en_US&amp;offset=0&amp;query=any,contains,991000045369702656","Catalog Record")</f>
        <v/>
      </c>
      <c r="AT62">
        <f>HYPERLINK("http://www.worldcat.org/oclc/8668395","WorldCat Record")</f>
        <v/>
      </c>
      <c r="AU62" t="inlineStr">
        <is>
          <t>32476763:eng</t>
        </is>
      </c>
      <c r="AV62" t="inlineStr">
        <is>
          <t>8668395</t>
        </is>
      </c>
      <c r="AW62" t="inlineStr">
        <is>
          <t>991000045369702656</t>
        </is>
      </c>
      <c r="AX62" t="inlineStr">
        <is>
          <t>991000045369702656</t>
        </is>
      </c>
      <c r="AY62" t="inlineStr">
        <is>
          <t>2270235370002656</t>
        </is>
      </c>
      <c r="AZ62" t="inlineStr">
        <is>
          <t>BOOK</t>
        </is>
      </c>
      <c r="BB62" t="inlineStr">
        <is>
          <t>9780316500920</t>
        </is>
      </c>
      <c r="BC62" t="inlineStr">
        <is>
          <t>32285000887322</t>
        </is>
      </c>
      <c r="BD62" t="inlineStr">
        <is>
          <t>893326956</t>
        </is>
      </c>
    </row>
    <row r="63">
      <c r="A63" t="inlineStr">
        <is>
          <t>No</t>
        </is>
      </c>
      <c r="B63" t="inlineStr">
        <is>
          <t>HV1451 .O4</t>
        </is>
      </c>
      <c r="C63" t="inlineStr">
        <is>
          <t>0                      HV 1451000O  4</t>
        </is>
      </c>
      <c r="D63" t="inlineStr">
        <is>
          <t>Older persons : unused resources for unmet needs / edited by Frank Riessman. --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Beverly Hills, Calif. : Sage Publications, 1977, c1976.</t>
        </is>
      </c>
      <c r="M63" t="inlineStr">
        <is>
          <t>1977</t>
        </is>
      </c>
      <c r="O63" t="inlineStr">
        <is>
          <t>eng</t>
        </is>
      </c>
      <c r="P63" t="inlineStr">
        <is>
          <t>cau</t>
        </is>
      </c>
      <c r="Q63" t="inlineStr">
        <is>
          <t>Sage contemporary social science issues ; 40</t>
        </is>
      </c>
      <c r="R63" t="inlineStr">
        <is>
          <t xml:space="preserve">HV </t>
        </is>
      </c>
      <c r="S63" t="n">
        <v>9</v>
      </c>
      <c r="T63" t="n">
        <v>9</v>
      </c>
      <c r="U63" t="inlineStr">
        <is>
          <t>2002-04-15</t>
        </is>
      </c>
      <c r="V63" t="inlineStr">
        <is>
          <t>2002-04-15</t>
        </is>
      </c>
      <c r="W63" t="inlineStr">
        <is>
          <t>1992-06-24</t>
        </is>
      </c>
      <c r="X63" t="inlineStr">
        <is>
          <t>1992-06-24</t>
        </is>
      </c>
      <c r="Y63" t="n">
        <v>237</v>
      </c>
      <c r="Z63" t="n">
        <v>199</v>
      </c>
      <c r="AA63" t="n">
        <v>206</v>
      </c>
      <c r="AB63" t="n">
        <v>5</v>
      </c>
      <c r="AC63" t="n">
        <v>5</v>
      </c>
      <c r="AD63" t="n">
        <v>11</v>
      </c>
      <c r="AE63" t="n">
        <v>11</v>
      </c>
      <c r="AF63" t="n">
        <v>3</v>
      </c>
      <c r="AG63" t="n">
        <v>3</v>
      </c>
      <c r="AH63" t="n">
        <v>1</v>
      </c>
      <c r="AI63" t="n">
        <v>1</v>
      </c>
      <c r="AJ63" t="n">
        <v>4</v>
      </c>
      <c r="AK63" t="n">
        <v>4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HYPERLINK("https://creighton-primo.hosted.exlibrisgroup.com/primo-explore/search?tab=default_tab&amp;search_scope=EVERYTHING&amp;vid=01CRU&amp;lang=en_US&amp;offset=0&amp;query=any,contains,991004455299702656","Catalog Record")</f>
        <v/>
      </c>
      <c r="AT63">
        <f>HYPERLINK("http://www.worldcat.org/oclc/3522494","WorldCat Record")</f>
        <v/>
      </c>
      <c r="AU63" t="inlineStr">
        <is>
          <t>10848751:eng</t>
        </is>
      </c>
      <c r="AV63" t="inlineStr">
        <is>
          <t>3522494</t>
        </is>
      </c>
      <c r="AW63" t="inlineStr">
        <is>
          <t>991004455299702656</t>
        </is>
      </c>
      <c r="AX63" t="inlineStr">
        <is>
          <t>991004455299702656</t>
        </is>
      </c>
      <c r="AY63" t="inlineStr">
        <is>
          <t>2262376620002656</t>
        </is>
      </c>
      <c r="AZ63" t="inlineStr">
        <is>
          <t>BOOK</t>
        </is>
      </c>
      <c r="BB63" t="inlineStr">
        <is>
          <t>9780803909199</t>
        </is>
      </c>
      <c r="BC63" t="inlineStr">
        <is>
          <t>32285001180156</t>
        </is>
      </c>
      <c r="BD63" t="inlineStr">
        <is>
          <t>893904868</t>
        </is>
      </c>
    </row>
    <row r="64">
      <c r="A64" t="inlineStr">
        <is>
          <t>No</t>
        </is>
      </c>
      <c r="B64" t="inlineStr">
        <is>
          <t>HV1451 .T67 1995</t>
        </is>
      </c>
      <c r="C64" t="inlineStr">
        <is>
          <t>0                      HV 1451000T  67          1995</t>
        </is>
      </c>
      <c r="D64" t="inlineStr">
        <is>
          <t>Group work with the elderly and family caregivers / Ronald W. Toseland.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Toseland, Ronald W.</t>
        </is>
      </c>
      <c r="L64" t="inlineStr">
        <is>
          <t>New York : Springer Pub. Co., c1995.</t>
        </is>
      </c>
      <c r="M64" t="inlineStr">
        <is>
          <t>1995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HV </t>
        </is>
      </c>
      <c r="S64" t="n">
        <v>8</v>
      </c>
      <c r="T64" t="n">
        <v>8</v>
      </c>
      <c r="U64" t="inlineStr">
        <is>
          <t>2010-04-20</t>
        </is>
      </c>
      <c r="V64" t="inlineStr">
        <is>
          <t>2010-04-20</t>
        </is>
      </c>
      <c r="W64" t="inlineStr">
        <is>
          <t>1995-12-11</t>
        </is>
      </c>
      <c r="X64" t="inlineStr">
        <is>
          <t>1995-12-11</t>
        </is>
      </c>
      <c r="Y64" t="n">
        <v>359</v>
      </c>
      <c r="Z64" t="n">
        <v>316</v>
      </c>
      <c r="AA64" t="n">
        <v>318</v>
      </c>
      <c r="AB64" t="n">
        <v>3</v>
      </c>
      <c r="AC64" t="n">
        <v>3</v>
      </c>
      <c r="AD64" t="n">
        <v>12</v>
      </c>
      <c r="AE64" t="n">
        <v>12</v>
      </c>
      <c r="AF64" t="n">
        <v>3</v>
      </c>
      <c r="AG64" t="n">
        <v>3</v>
      </c>
      <c r="AH64" t="n">
        <v>3</v>
      </c>
      <c r="AI64" t="n">
        <v>3</v>
      </c>
      <c r="AJ64" t="n">
        <v>7</v>
      </c>
      <c r="AK64" t="n">
        <v>7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HYPERLINK("http://catalog.hathitrust.org/Record/002999406","HathiTrust Record")</f>
        <v/>
      </c>
      <c r="AS64">
        <f>HYPERLINK("https://creighton-primo.hosted.exlibrisgroup.com/primo-explore/search?tab=default_tab&amp;search_scope=EVERYTHING&amp;vid=01CRU&amp;lang=en_US&amp;offset=0&amp;query=any,contains,991002437649702656","Catalog Record")</f>
        <v/>
      </c>
      <c r="AT64">
        <f>HYPERLINK("http://www.worldcat.org/oclc/31776382","WorldCat Record")</f>
        <v/>
      </c>
      <c r="AU64" t="inlineStr">
        <is>
          <t>968222:eng</t>
        </is>
      </c>
      <c r="AV64" t="inlineStr">
        <is>
          <t>31776382</t>
        </is>
      </c>
      <c r="AW64" t="inlineStr">
        <is>
          <t>991002437649702656</t>
        </is>
      </c>
      <c r="AX64" t="inlineStr">
        <is>
          <t>991002437649702656</t>
        </is>
      </c>
      <c r="AY64" t="inlineStr">
        <is>
          <t>2257630910002656</t>
        </is>
      </c>
      <c r="AZ64" t="inlineStr">
        <is>
          <t>BOOK</t>
        </is>
      </c>
      <c r="BB64" t="inlineStr">
        <is>
          <t>9780826189103</t>
        </is>
      </c>
      <c r="BC64" t="inlineStr">
        <is>
          <t>32285002110541</t>
        </is>
      </c>
      <c r="BD64" t="inlineStr">
        <is>
          <t>893245175</t>
        </is>
      </c>
    </row>
    <row r="65">
      <c r="A65" t="inlineStr">
        <is>
          <t>No</t>
        </is>
      </c>
      <c r="B65" t="inlineStr">
        <is>
          <t>HV1451 .W66 1989</t>
        </is>
      </c>
      <c r="C65" t="inlineStr">
        <is>
          <t>0                      HV 1451000W  66          1989</t>
        </is>
      </c>
      <c r="D65" t="inlineStr">
        <is>
          <t>Working with the elderly : an introduction / edited by Elizabeth S. Deichman and Regina Kociecki.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Buffalo, N.Y. : Prometheus Books, 1989.</t>
        </is>
      </c>
      <c r="M65" t="inlineStr">
        <is>
          <t>1989</t>
        </is>
      </c>
      <c r="O65" t="inlineStr">
        <is>
          <t>eng</t>
        </is>
      </c>
      <c r="P65" t="inlineStr">
        <is>
          <t>nyu</t>
        </is>
      </c>
      <c r="Q65" t="inlineStr">
        <is>
          <t>Golden age books</t>
        </is>
      </c>
      <c r="R65" t="inlineStr">
        <is>
          <t xml:space="preserve">HV </t>
        </is>
      </c>
      <c r="S65" t="n">
        <v>7</v>
      </c>
      <c r="T65" t="n">
        <v>7</v>
      </c>
      <c r="U65" t="inlineStr">
        <is>
          <t>2002-04-15</t>
        </is>
      </c>
      <c r="V65" t="inlineStr">
        <is>
          <t>2002-04-15</t>
        </is>
      </c>
      <c r="W65" t="inlineStr">
        <is>
          <t>1990-05-24</t>
        </is>
      </c>
      <c r="X65" t="inlineStr">
        <is>
          <t>1990-05-24</t>
        </is>
      </c>
      <c r="Y65" t="n">
        <v>293</v>
      </c>
      <c r="Z65" t="n">
        <v>256</v>
      </c>
      <c r="AA65" t="n">
        <v>258</v>
      </c>
      <c r="AB65" t="n">
        <v>3</v>
      </c>
      <c r="AC65" t="n">
        <v>3</v>
      </c>
      <c r="AD65" t="n">
        <v>13</v>
      </c>
      <c r="AE65" t="n">
        <v>13</v>
      </c>
      <c r="AF65" t="n">
        <v>5</v>
      </c>
      <c r="AG65" t="n">
        <v>5</v>
      </c>
      <c r="AH65" t="n">
        <v>2</v>
      </c>
      <c r="AI65" t="n">
        <v>2</v>
      </c>
      <c r="AJ65" t="n">
        <v>9</v>
      </c>
      <c r="AK65" t="n">
        <v>9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HYPERLINK("http://catalog.hathitrust.org/Record/001950368","HathiTrust Record")</f>
        <v/>
      </c>
      <c r="AS65">
        <f>HYPERLINK("https://creighton-primo.hosted.exlibrisgroup.com/primo-explore/search?tab=default_tab&amp;search_scope=EVERYTHING&amp;vid=01CRU&amp;lang=en_US&amp;offset=0&amp;query=any,contains,991001556279702656","Catalog Record")</f>
        <v/>
      </c>
      <c r="AT65">
        <f>HYPERLINK("http://www.worldcat.org/oclc/20264690","WorldCat Record")</f>
        <v/>
      </c>
      <c r="AU65" t="inlineStr">
        <is>
          <t>432625398:eng</t>
        </is>
      </c>
      <c r="AV65" t="inlineStr">
        <is>
          <t>20264690</t>
        </is>
      </c>
      <c r="AW65" t="inlineStr">
        <is>
          <t>991001556279702656</t>
        </is>
      </c>
      <c r="AX65" t="inlineStr">
        <is>
          <t>991001556279702656</t>
        </is>
      </c>
      <c r="AY65" t="inlineStr">
        <is>
          <t>2259922990002656</t>
        </is>
      </c>
      <c r="AZ65" t="inlineStr">
        <is>
          <t>BOOK</t>
        </is>
      </c>
      <c r="BB65" t="inlineStr">
        <is>
          <t>9780879755348</t>
        </is>
      </c>
      <c r="BC65" t="inlineStr">
        <is>
          <t>32285000139799</t>
        </is>
      </c>
      <c r="BD65" t="inlineStr">
        <is>
          <t>893709353</t>
        </is>
      </c>
    </row>
    <row r="66">
      <c r="A66" t="inlineStr">
        <is>
          <t>No</t>
        </is>
      </c>
      <c r="B66" t="inlineStr">
        <is>
          <t>HV1461 .A545 1989</t>
        </is>
      </c>
      <c r="C66" t="inlineStr">
        <is>
          <t>0                      HV 1461000A  545         1989</t>
        </is>
      </c>
      <c r="D66" t="inlineStr">
        <is>
          <t>Aging parents and adult children / edited by Jay A. Mancini.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Lexington, Mass. : Lexington Books, c1969.</t>
        </is>
      </c>
      <c r="M66" t="inlineStr">
        <is>
          <t>1989</t>
        </is>
      </c>
      <c r="O66" t="inlineStr">
        <is>
          <t>eng</t>
        </is>
      </c>
      <c r="P66" t="inlineStr">
        <is>
          <t>mau</t>
        </is>
      </c>
      <c r="R66" t="inlineStr">
        <is>
          <t xml:space="preserve">HV </t>
        </is>
      </c>
      <c r="S66" t="n">
        <v>8</v>
      </c>
      <c r="T66" t="n">
        <v>8</v>
      </c>
      <c r="U66" t="inlineStr">
        <is>
          <t>1998-11-03</t>
        </is>
      </c>
      <c r="V66" t="inlineStr">
        <is>
          <t>1998-11-03</t>
        </is>
      </c>
      <c r="W66" t="inlineStr">
        <is>
          <t>1990-01-04</t>
        </is>
      </c>
      <c r="X66" t="inlineStr">
        <is>
          <t>1990-01-04</t>
        </is>
      </c>
      <c r="Y66" t="n">
        <v>451</v>
      </c>
      <c r="Z66" t="n">
        <v>390</v>
      </c>
      <c r="AA66" t="n">
        <v>397</v>
      </c>
      <c r="AB66" t="n">
        <v>5</v>
      </c>
      <c r="AC66" t="n">
        <v>5</v>
      </c>
      <c r="AD66" t="n">
        <v>22</v>
      </c>
      <c r="AE66" t="n">
        <v>22</v>
      </c>
      <c r="AF66" t="n">
        <v>7</v>
      </c>
      <c r="AG66" t="n">
        <v>7</v>
      </c>
      <c r="AH66" t="n">
        <v>4</v>
      </c>
      <c r="AI66" t="n">
        <v>4</v>
      </c>
      <c r="AJ66" t="n">
        <v>11</v>
      </c>
      <c r="AK66" t="n">
        <v>11</v>
      </c>
      <c r="AL66" t="n">
        <v>4</v>
      </c>
      <c r="AM66" t="n">
        <v>4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HYPERLINK("http://catalog.hathitrust.org/Record/001529787","HathiTrust Record")</f>
        <v/>
      </c>
      <c r="AS66">
        <f>HYPERLINK("https://creighton-primo.hosted.exlibrisgroup.com/primo-explore/search?tab=default_tab&amp;search_scope=EVERYTHING&amp;vid=01CRU&amp;lang=en_US&amp;offset=0&amp;query=any,contains,991001428589702656","Catalog Record")</f>
        <v/>
      </c>
      <c r="AT66">
        <f>HYPERLINK("http://www.worldcat.org/oclc/19065591","WorldCat Record")</f>
        <v/>
      </c>
      <c r="AU66" t="inlineStr">
        <is>
          <t>18606548:eng</t>
        </is>
      </c>
      <c r="AV66" t="inlineStr">
        <is>
          <t>19065591</t>
        </is>
      </c>
      <c r="AW66" t="inlineStr">
        <is>
          <t>991001428589702656</t>
        </is>
      </c>
      <c r="AX66" t="inlineStr">
        <is>
          <t>991001428589702656</t>
        </is>
      </c>
      <c r="AY66" t="inlineStr">
        <is>
          <t>2262081320002656</t>
        </is>
      </c>
      <c r="AZ66" t="inlineStr">
        <is>
          <t>BOOK</t>
        </is>
      </c>
      <c r="BB66" t="inlineStr">
        <is>
          <t>9780669180145</t>
        </is>
      </c>
      <c r="BC66" t="inlineStr">
        <is>
          <t>32285000026285</t>
        </is>
      </c>
      <c r="BD66" t="inlineStr">
        <is>
          <t>893256241</t>
        </is>
      </c>
    </row>
    <row r="67">
      <c r="A67" t="inlineStr">
        <is>
          <t>No</t>
        </is>
      </c>
      <c r="B67" t="inlineStr">
        <is>
          <t>HV1461 .B35 1991</t>
        </is>
      </c>
      <c r="C67" t="inlineStr">
        <is>
          <t>0                      HV 1461000B  35          1991</t>
        </is>
      </c>
      <c r="D67" t="inlineStr">
        <is>
          <t>Elder care : family training and support / Amanda Smith Barusch.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Barusch, Amanda Smith.</t>
        </is>
      </c>
      <c r="L67" t="inlineStr">
        <is>
          <t>Newbury Park, Calif. : Sage Publications, c1991.</t>
        </is>
      </c>
      <c r="M67" t="inlineStr">
        <is>
          <t>1991</t>
        </is>
      </c>
      <c r="O67" t="inlineStr">
        <is>
          <t>eng</t>
        </is>
      </c>
      <c r="P67" t="inlineStr">
        <is>
          <t>cau</t>
        </is>
      </c>
      <c r="Q67" t="inlineStr">
        <is>
          <t>Sage sourcebooks for the human services series ; 18</t>
        </is>
      </c>
      <c r="R67" t="inlineStr">
        <is>
          <t xml:space="preserve">HV </t>
        </is>
      </c>
      <c r="S67" t="n">
        <v>11</v>
      </c>
      <c r="T67" t="n">
        <v>11</v>
      </c>
      <c r="U67" t="inlineStr">
        <is>
          <t>2001-11-18</t>
        </is>
      </c>
      <c r="V67" t="inlineStr">
        <is>
          <t>2001-11-18</t>
        </is>
      </c>
      <c r="W67" t="inlineStr">
        <is>
          <t>1992-01-22</t>
        </is>
      </c>
      <c r="X67" t="inlineStr">
        <is>
          <t>1992-01-22</t>
        </is>
      </c>
      <c r="Y67" t="n">
        <v>313</v>
      </c>
      <c r="Z67" t="n">
        <v>247</v>
      </c>
      <c r="AA67" t="n">
        <v>254</v>
      </c>
      <c r="AB67" t="n">
        <v>5</v>
      </c>
      <c r="AC67" t="n">
        <v>5</v>
      </c>
      <c r="AD67" t="n">
        <v>18</v>
      </c>
      <c r="AE67" t="n">
        <v>18</v>
      </c>
      <c r="AF67" t="n">
        <v>5</v>
      </c>
      <c r="AG67" t="n">
        <v>5</v>
      </c>
      <c r="AH67" t="n">
        <v>3</v>
      </c>
      <c r="AI67" t="n">
        <v>3</v>
      </c>
      <c r="AJ67" t="n">
        <v>8</v>
      </c>
      <c r="AK67" t="n">
        <v>8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HYPERLINK("http://catalog.hathitrust.org/Record/002465262","HathiTrust Record")</f>
        <v/>
      </c>
      <c r="AS67">
        <f>HYPERLINK("https://creighton-primo.hosted.exlibrisgroup.com/primo-explore/search?tab=default_tab&amp;search_scope=EVERYTHING&amp;vid=01CRU&amp;lang=en_US&amp;offset=0&amp;query=any,contains,991001853399702656","Catalog Record")</f>
        <v/>
      </c>
      <c r="AT67">
        <f>HYPERLINK("http://www.worldcat.org/oclc/23254106","WorldCat Record")</f>
        <v/>
      </c>
      <c r="AU67" t="inlineStr">
        <is>
          <t>24725448:eng</t>
        </is>
      </c>
      <c r="AV67" t="inlineStr">
        <is>
          <t>23254106</t>
        </is>
      </c>
      <c r="AW67" t="inlineStr">
        <is>
          <t>991001853399702656</t>
        </is>
      </c>
      <c r="AX67" t="inlineStr">
        <is>
          <t>991001853399702656</t>
        </is>
      </c>
      <c r="AY67" t="inlineStr">
        <is>
          <t>2268793870002656</t>
        </is>
      </c>
      <c r="AZ67" t="inlineStr">
        <is>
          <t>BOOK</t>
        </is>
      </c>
      <c r="BB67" t="inlineStr">
        <is>
          <t>9780803941854</t>
        </is>
      </c>
      <c r="BC67" t="inlineStr">
        <is>
          <t>32285000865609</t>
        </is>
      </c>
      <c r="BD67" t="inlineStr">
        <is>
          <t>893779142</t>
        </is>
      </c>
    </row>
    <row r="68">
      <c r="A68" t="inlineStr">
        <is>
          <t>No</t>
        </is>
      </c>
      <c r="B68" t="inlineStr">
        <is>
          <t>HV1461 .C37 1989</t>
        </is>
      </c>
      <c r="C68" t="inlineStr">
        <is>
          <t>0                      HV 1461000C  37          1989</t>
        </is>
      </c>
      <c r="D68" t="inlineStr">
        <is>
          <t>The Care of tomorrow's elderly / Marion Ein Lewin &amp; Sean Sullivan, editors.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Washington, D.C. : American Enterprise Institute for Public Policy Research, 1989.</t>
        </is>
      </c>
      <c r="M68" t="inlineStr">
        <is>
          <t>1989</t>
        </is>
      </c>
      <c r="O68" t="inlineStr">
        <is>
          <t>eng</t>
        </is>
      </c>
      <c r="P68" t="inlineStr">
        <is>
          <t>dcu</t>
        </is>
      </c>
      <c r="Q68" t="inlineStr">
        <is>
          <t>AEI studies ; 487</t>
        </is>
      </c>
      <c r="R68" t="inlineStr">
        <is>
          <t xml:space="preserve">HV </t>
        </is>
      </c>
      <c r="S68" t="n">
        <v>15</v>
      </c>
      <c r="T68" t="n">
        <v>15</v>
      </c>
      <c r="U68" t="inlineStr">
        <is>
          <t>1997-12-01</t>
        </is>
      </c>
      <c r="V68" t="inlineStr">
        <is>
          <t>1997-12-01</t>
        </is>
      </c>
      <c r="W68" t="inlineStr">
        <is>
          <t>1990-06-28</t>
        </is>
      </c>
      <c r="X68" t="inlineStr">
        <is>
          <t>1990-06-28</t>
        </is>
      </c>
      <c r="Y68" t="n">
        <v>453</v>
      </c>
      <c r="Z68" t="n">
        <v>409</v>
      </c>
      <c r="AA68" t="n">
        <v>435</v>
      </c>
      <c r="AB68" t="n">
        <v>5</v>
      </c>
      <c r="AC68" t="n">
        <v>5</v>
      </c>
      <c r="AD68" t="n">
        <v>23</v>
      </c>
      <c r="AE68" t="n">
        <v>24</v>
      </c>
      <c r="AF68" t="n">
        <v>6</v>
      </c>
      <c r="AG68" t="n">
        <v>6</v>
      </c>
      <c r="AH68" t="n">
        <v>6</v>
      </c>
      <c r="AI68" t="n">
        <v>6</v>
      </c>
      <c r="AJ68" t="n">
        <v>8</v>
      </c>
      <c r="AK68" t="n">
        <v>8</v>
      </c>
      <c r="AL68" t="n">
        <v>4</v>
      </c>
      <c r="AM68" t="n">
        <v>4</v>
      </c>
      <c r="AN68" t="n">
        <v>3</v>
      </c>
      <c r="AO68" t="n">
        <v>4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HYPERLINK("http://catalog.hathitrust.org/Record/001545020","HathiTrust Record")</f>
        <v/>
      </c>
      <c r="AS68">
        <f>HYPERLINK("https://creighton-primo.hosted.exlibrisgroup.com/primo-explore/search?tab=default_tab&amp;search_scope=EVERYTHING&amp;vid=01CRU&amp;lang=en_US&amp;offset=0&amp;query=any,contains,991001428729702656","Catalog Record")</f>
        <v/>
      </c>
      <c r="AT68">
        <f>HYPERLINK("http://www.worldcat.org/oclc/19065946","WorldCat Record")</f>
        <v/>
      </c>
      <c r="AU68" t="inlineStr">
        <is>
          <t>432388638:eng</t>
        </is>
      </c>
      <c r="AV68" t="inlineStr">
        <is>
          <t>19065946</t>
        </is>
      </c>
      <c r="AW68" t="inlineStr">
        <is>
          <t>991001428729702656</t>
        </is>
      </c>
      <c r="AX68" t="inlineStr">
        <is>
          <t>991001428729702656</t>
        </is>
      </c>
      <c r="AY68" t="inlineStr">
        <is>
          <t>2261974850002656</t>
        </is>
      </c>
      <c r="AZ68" t="inlineStr">
        <is>
          <t>BOOK</t>
        </is>
      </c>
      <c r="BB68" t="inlineStr">
        <is>
          <t>9780844736808</t>
        </is>
      </c>
      <c r="BC68" t="inlineStr">
        <is>
          <t>32285000206242</t>
        </is>
      </c>
      <c r="BD68" t="inlineStr">
        <is>
          <t>893414235</t>
        </is>
      </c>
    </row>
    <row r="69">
      <c r="A69" t="inlineStr">
        <is>
          <t>No</t>
        </is>
      </c>
      <c r="B69" t="inlineStr">
        <is>
          <t>HV1461 .E84 1993</t>
        </is>
      </c>
      <c r="C69" t="inlineStr">
        <is>
          <t>0                      HV 1461000E  84          1993</t>
        </is>
      </c>
      <c r="D69" t="inlineStr">
        <is>
          <t>Ethnic elderly and long-term care / Charles M. Barresi, Donald E. Stull, editors.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New York : Springer Pub. Co., c1993.</t>
        </is>
      </c>
      <c r="M69" t="inlineStr">
        <is>
          <t>1993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HV </t>
        </is>
      </c>
      <c r="S69" t="n">
        <v>18</v>
      </c>
      <c r="T69" t="n">
        <v>18</v>
      </c>
      <c r="U69" t="inlineStr">
        <is>
          <t>2000-11-12</t>
        </is>
      </c>
      <c r="V69" t="inlineStr">
        <is>
          <t>2000-11-12</t>
        </is>
      </c>
      <c r="W69" t="inlineStr">
        <is>
          <t>1993-03-31</t>
        </is>
      </c>
      <c r="X69" t="inlineStr">
        <is>
          <t>1993-03-31</t>
        </is>
      </c>
      <c r="Y69" t="n">
        <v>438</v>
      </c>
      <c r="Z69" t="n">
        <v>398</v>
      </c>
      <c r="AA69" t="n">
        <v>400</v>
      </c>
      <c r="AB69" t="n">
        <v>3</v>
      </c>
      <c r="AC69" t="n">
        <v>3</v>
      </c>
      <c r="AD69" t="n">
        <v>27</v>
      </c>
      <c r="AE69" t="n">
        <v>27</v>
      </c>
      <c r="AF69" t="n">
        <v>8</v>
      </c>
      <c r="AG69" t="n">
        <v>8</v>
      </c>
      <c r="AH69" t="n">
        <v>6</v>
      </c>
      <c r="AI69" t="n">
        <v>6</v>
      </c>
      <c r="AJ69" t="n">
        <v>14</v>
      </c>
      <c r="AK69" t="n">
        <v>14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HYPERLINK("http://catalog.hathitrust.org/Record/002602459","HathiTrust Record")</f>
        <v/>
      </c>
      <c r="AS69">
        <f>HYPERLINK("https://creighton-primo.hosted.exlibrisgroup.com/primo-explore/search?tab=default_tab&amp;search_scope=EVERYTHING&amp;vid=01CRU&amp;lang=en_US&amp;offset=0&amp;query=any,contains,991001996769702656","Catalog Record")</f>
        <v/>
      </c>
      <c r="AT69">
        <f>HYPERLINK("http://www.worldcat.org/oclc/25372184","WorldCat Record")</f>
        <v/>
      </c>
      <c r="AU69" t="inlineStr">
        <is>
          <t>476274649:eng</t>
        </is>
      </c>
      <c r="AV69" t="inlineStr">
        <is>
          <t>25372184</t>
        </is>
      </c>
      <c r="AW69" t="inlineStr">
        <is>
          <t>991001996769702656</t>
        </is>
      </c>
      <c r="AX69" t="inlineStr">
        <is>
          <t>991001996769702656</t>
        </is>
      </c>
      <c r="AY69" t="inlineStr">
        <is>
          <t>2269246970002656</t>
        </is>
      </c>
      <c r="AZ69" t="inlineStr">
        <is>
          <t>BOOK</t>
        </is>
      </c>
      <c r="BB69" t="inlineStr">
        <is>
          <t>9780826173706</t>
        </is>
      </c>
      <c r="BC69" t="inlineStr">
        <is>
          <t>32285001499440</t>
        </is>
      </c>
      <c r="BD69" t="inlineStr">
        <is>
          <t>893238518</t>
        </is>
      </c>
    </row>
    <row r="70">
      <c r="A70" t="inlineStr">
        <is>
          <t>No</t>
        </is>
      </c>
      <c r="B70" t="inlineStr">
        <is>
          <t>HV1461 .F56513 1997</t>
        </is>
      </c>
      <c r="C70" t="inlineStr">
        <is>
          <t>0                      HV 1461000F  56513       1997</t>
        </is>
      </c>
      <c r="D70" t="inlineStr">
        <is>
          <t>Who will care for us? : aging and long-term care in multicultural America / Ronald J. Angel and Jacqueline L. Angel.</t>
        </is>
      </c>
      <c r="F70" t="inlineStr">
        <is>
          <t>No</t>
        </is>
      </c>
      <c r="G70" t="inlineStr">
        <is>
          <t>1</t>
        </is>
      </c>
      <c r="H70" t="inlineStr">
        <is>
          <t>Yes</t>
        </is>
      </c>
      <c r="I70" t="inlineStr">
        <is>
          <t>No</t>
        </is>
      </c>
      <c r="J70" t="inlineStr">
        <is>
          <t>0</t>
        </is>
      </c>
      <c r="K70" t="inlineStr">
        <is>
          <t>Angel, Ronald.</t>
        </is>
      </c>
      <c r="L70" t="inlineStr">
        <is>
          <t>New York : New York University Press, c1997.</t>
        </is>
      </c>
      <c r="M70" t="inlineStr">
        <is>
          <t>1997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HV </t>
        </is>
      </c>
      <c r="S70" t="n">
        <v>9</v>
      </c>
      <c r="T70" t="n">
        <v>11</v>
      </c>
      <c r="U70" t="inlineStr">
        <is>
          <t>2005-04-19</t>
        </is>
      </c>
      <c r="V70" t="inlineStr">
        <is>
          <t>2005-04-19</t>
        </is>
      </c>
      <c r="W70" t="inlineStr">
        <is>
          <t>1997-04-01</t>
        </is>
      </c>
      <c r="X70" t="inlineStr">
        <is>
          <t>1997-04-01</t>
        </is>
      </c>
      <c r="Y70" t="n">
        <v>843</v>
      </c>
      <c r="Z70" t="n">
        <v>783</v>
      </c>
      <c r="AA70" t="n">
        <v>1804</v>
      </c>
      <c r="AB70" t="n">
        <v>5</v>
      </c>
      <c r="AC70" t="n">
        <v>9</v>
      </c>
      <c r="AD70" t="n">
        <v>40</v>
      </c>
      <c r="AE70" t="n">
        <v>51</v>
      </c>
      <c r="AF70" t="n">
        <v>18</v>
      </c>
      <c r="AG70" t="n">
        <v>23</v>
      </c>
      <c r="AH70" t="n">
        <v>9</v>
      </c>
      <c r="AI70" t="n">
        <v>9</v>
      </c>
      <c r="AJ70" t="n">
        <v>20</v>
      </c>
      <c r="AK70" t="n">
        <v>24</v>
      </c>
      <c r="AL70" t="n">
        <v>3</v>
      </c>
      <c r="AM70" t="n">
        <v>6</v>
      </c>
      <c r="AN70" t="n">
        <v>2</v>
      </c>
      <c r="AO70" t="n">
        <v>2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HYPERLINK("https://creighton-primo.hosted.exlibrisgroup.com/primo-explore/search?tab=default_tab&amp;search_scope=EVERYTHING&amp;vid=01CRU&amp;lang=en_US&amp;offset=0&amp;query=any,contains,991001672499702656","Catalog Record")</f>
        <v/>
      </c>
      <c r="AT70">
        <f>HYPERLINK("http://www.worldcat.org/oclc/35084242","WorldCat Record")</f>
        <v/>
      </c>
      <c r="AU70" t="inlineStr">
        <is>
          <t>799758874:eng</t>
        </is>
      </c>
      <c r="AV70" t="inlineStr">
        <is>
          <t>35084242</t>
        </is>
      </c>
      <c r="AW70" t="inlineStr">
        <is>
          <t>991001672499702656</t>
        </is>
      </c>
      <c r="AX70" t="inlineStr">
        <is>
          <t>991001672499702656</t>
        </is>
      </c>
      <c r="AY70" t="inlineStr">
        <is>
          <t>2255178500002656</t>
        </is>
      </c>
      <c r="AZ70" t="inlineStr">
        <is>
          <t>BOOK</t>
        </is>
      </c>
      <c r="BB70" t="inlineStr">
        <is>
          <t>9780814706299</t>
        </is>
      </c>
      <c r="BC70" t="inlineStr">
        <is>
          <t>32285002477361</t>
        </is>
      </c>
      <c r="BD70" t="inlineStr">
        <is>
          <t>893334477</t>
        </is>
      </c>
    </row>
    <row r="71">
      <c r="A71" t="inlineStr">
        <is>
          <t>No</t>
        </is>
      </c>
      <c r="B71" t="inlineStr">
        <is>
          <t>HV1461 .F7</t>
        </is>
      </c>
      <c r="C71" t="inlineStr">
        <is>
          <t>0                      HV 1461000F  7</t>
        </is>
      </c>
      <c r="D71" t="inlineStr">
        <is>
          <t>Family care of the elderly : public initiatives and private obligations / Dwight L. Frankfather, Michael J. Smith, Francis G. Caro.</t>
        </is>
      </c>
      <c r="F71" t="inlineStr">
        <is>
          <t>No</t>
        </is>
      </c>
      <c r="G71" t="inlineStr">
        <is>
          <t>1</t>
        </is>
      </c>
      <c r="H71" t="inlineStr">
        <is>
          <t>Yes</t>
        </is>
      </c>
      <c r="I71" t="inlineStr">
        <is>
          <t>No</t>
        </is>
      </c>
      <c r="J71" t="inlineStr">
        <is>
          <t>0</t>
        </is>
      </c>
      <c r="K71" t="inlineStr">
        <is>
          <t>Frankfather, Dwight, 1946-</t>
        </is>
      </c>
      <c r="L71" t="inlineStr">
        <is>
          <t>Lexington, Mass. : Lexington Books, c1981.</t>
        </is>
      </c>
      <c r="M71" t="inlineStr">
        <is>
          <t>1981</t>
        </is>
      </c>
      <c r="O71" t="inlineStr">
        <is>
          <t>eng</t>
        </is>
      </c>
      <c r="P71" t="inlineStr">
        <is>
          <t>mau</t>
        </is>
      </c>
      <c r="R71" t="inlineStr">
        <is>
          <t xml:space="preserve">HV </t>
        </is>
      </c>
      <c r="S71" t="n">
        <v>2</v>
      </c>
      <c r="T71" t="n">
        <v>2</v>
      </c>
      <c r="U71" t="inlineStr">
        <is>
          <t>2001-11-18</t>
        </is>
      </c>
      <c r="V71" t="inlineStr">
        <is>
          <t>2001-11-18</t>
        </is>
      </c>
      <c r="W71" t="inlineStr">
        <is>
          <t>1992-05-06</t>
        </is>
      </c>
      <c r="X71" t="inlineStr">
        <is>
          <t>1992-05-06</t>
        </is>
      </c>
      <c r="Y71" t="n">
        <v>505</v>
      </c>
      <c r="Z71" t="n">
        <v>436</v>
      </c>
      <c r="AA71" t="n">
        <v>439</v>
      </c>
      <c r="AB71" t="n">
        <v>5</v>
      </c>
      <c r="AC71" t="n">
        <v>5</v>
      </c>
      <c r="AD71" t="n">
        <v>16</v>
      </c>
      <c r="AE71" t="n">
        <v>16</v>
      </c>
      <c r="AF71" t="n">
        <v>6</v>
      </c>
      <c r="AG71" t="n">
        <v>6</v>
      </c>
      <c r="AH71" t="n">
        <v>5</v>
      </c>
      <c r="AI71" t="n">
        <v>5</v>
      </c>
      <c r="AJ71" t="n">
        <v>7</v>
      </c>
      <c r="AK71" t="n">
        <v>7</v>
      </c>
      <c r="AL71" t="n">
        <v>3</v>
      </c>
      <c r="AM71" t="n">
        <v>3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HYPERLINK("https://creighton-primo.hosted.exlibrisgroup.com/primo-explore/search?tab=default_tab&amp;search_scope=EVERYTHING&amp;vid=01CRU&amp;lang=en_US&amp;offset=0&amp;query=any,contains,991005113589702656","Catalog Record")</f>
        <v/>
      </c>
      <c r="AT71">
        <f>HYPERLINK("http://www.worldcat.org/oclc/7460180","WorldCat Record")</f>
        <v/>
      </c>
      <c r="AU71" t="inlineStr">
        <is>
          <t>375294601:eng</t>
        </is>
      </c>
      <c r="AV71" t="inlineStr">
        <is>
          <t>7460180</t>
        </is>
      </c>
      <c r="AW71" t="inlineStr">
        <is>
          <t>991005113589702656</t>
        </is>
      </c>
      <c r="AX71" t="inlineStr">
        <is>
          <t>991005113589702656</t>
        </is>
      </c>
      <c r="AY71" t="inlineStr">
        <is>
          <t>2264336970002656</t>
        </is>
      </c>
      <c r="AZ71" t="inlineStr">
        <is>
          <t>BOOK</t>
        </is>
      </c>
      <c r="BB71" t="inlineStr">
        <is>
          <t>9780669037593</t>
        </is>
      </c>
      <c r="BC71" t="inlineStr">
        <is>
          <t>32285001120566</t>
        </is>
      </c>
      <c r="BD71" t="inlineStr">
        <is>
          <t>893600637</t>
        </is>
      </c>
    </row>
    <row r="72">
      <c r="A72" t="inlineStr">
        <is>
          <t>No</t>
        </is>
      </c>
      <c r="B72" t="inlineStr">
        <is>
          <t>HV1461 .H57 1988</t>
        </is>
      </c>
      <c r="C72" t="inlineStr">
        <is>
          <t>0                      HV 1461000H  57          1988</t>
        </is>
      </c>
      <c r="D72" t="inlineStr">
        <is>
          <t>Hispanic elderly in transition : theory, research, policy, and practice / edited by Steven R. Applewhite.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New York : Greenwood Press, 1988.</t>
        </is>
      </c>
      <c r="M72" t="inlineStr">
        <is>
          <t>1988</t>
        </is>
      </c>
      <c r="O72" t="inlineStr">
        <is>
          <t>eng</t>
        </is>
      </c>
      <c r="P72" t="inlineStr">
        <is>
          <t>nyu</t>
        </is>
      </c>
      <c r="Q72" t="inlineStr">
        <is>
          <t>Contributions to the study of aging, 0732-085X ; no. 9</t>
        </is>
      </c>
      <c r="R72" t="inlineStr">
        <is>
          <t xml:space="preserve">HV </t>
        </is>
      </c>
      <c r="S72" t="n">
        <v>3</v>
      </c>
      <c r="T72" t="n">
        <v>3</v>
      </c>
      <c r="U72" t="inlineStr">
        <is>
          <t>1996-09-03</t>
        </is>
      </c>
      <c r="V72" t="inlineStr">
        <is>
          <t>1996-09-03</t>
        </is>
      </c>
      <c r="W72" t="inlineStr">
        <is>
          <t>1990-04-03</t>
        </is>
      </c>
      <c r="X72" t="inlineStr">
        <is>
          <t>1990-04-03</t>
        </is>
      </c>
      <c r="Y72" t="n">
        <v>416</v>
      </c>
      <c r="Z72" t="n">
        <v>376</v>
      </c>
      <c r="AA72" t="n">
        <v>383</v>
      </c>
      <c r="AB72" t="n">
        <v>3</v>
      </c>
      <c r="AC72" t="n">
        <v>3</v>
      </c>
      <c r="AD72" t="n">
        <v>21</v>
      </c>
      <c r="AE72" t="n">
        <v>21</v>
      </c>
      <c r="AF72" t="n">
        <v>7</v>
      </c>
      <c r="AG72" t="n">
        <v>7</v>
      </c>
      <c r="AH72" t="n">
        <v>5</v>
      </c>
      <c r="AI72" t="n">
        <v>5</v>
      </c>
      <c r="AJ72" t="n">
        <v>11</v>
      </c>
      <c r="AK72" t="n">
        <v>11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HYPERLINK("http://catalog.hathitrust.org/Record/002168160","HathiTrust Record")</f>
        <v/>
      </c>
      <c r="AS72">
        <f>HYPERLINK("https://creighton-primo.hosted.exlibrisgroup.com/primo-explore/search?tab=default_tab&amp;search_scope=EVERYTHING&amp;vid=01CRU&amp;lang=en_US&amp;offset=0&amp;query=any,contains,991001209259702656","Catalog Record")</f>
        <v/>
      </c>
      <c r="AT72">
        <f>HYPERLINK("http://www.worldcat.org/oclc/17383669","WorldCat Record")</f>
        <v/>
      </c>
      <c r="AU72" t="inlineStr">
        <is>
          <t>836755183:eng</t>
        </is>
      </c>
      <c r="AV72" t="inlineStr">
        <is>
          <t>17383669</t>
        </is>
      </c>
      <c r="AW72" t="inlineStr">
        <is>
          <t>991001209259702656</t>
        </is>
      </c>
      <c r="AX72" t="inlineStr">
        <is>
          <t>991001209259702656</t>
        </is>
      </c>
      <c r="AY72" t="inlineStr">
        <is>
          <t>2271125820002656</t>
        </is>
      </c>
      <c r="AZ72" t="inlineStr">
        <is>
          <t>BOOK</t>
        </is>
      </c>
      <c r="BB72" t="inlineStr">
        <is>
          <t>9780313244780</t>
        </is>
      </c>
      <c r="BC72" t="inlineStr">
        <is>
          <t>32285000093053</t>
        </is>
      </c>
      <c r="BD72" t="inlineStr">
        <is>
          <t>893225690</t>
        </is>
      </c>
    </row>
    <row r="73">
      <c r="A73" t="inlineStr">
        <is>
          <t>No</t>
        </is>
      </c>
      <c r="B73" t="inlineStr">
        <is>
          <t>HV1461 .I57 1980</t>
        </is>
      </c>
      <c r="C73" t="inlineStr">
        <is>
          <t>0                      HV 1461000I  57          1980</t>
        </is>
      </c>
      <c r="D73" t="inlineStr">
        <is>
          <t>Institutionalization and alternative futures / editor, Jon Hendricks.</t>
        </is>
      </c>
      <c r="F73" t="inlineStr">
        <is>
          <t>No</t>
        </is>
      </c>
      <c r="G73" t="inlineStr">
        <is>
          <t>1</t>
        </is>
      </c>
      <c r="H73" t="inlineStr">
        <is>
          <t>Yes</t>
        </is>
      </c>
      <c r="I73" t="inlineStr">
        <is>
          <t>No</t>
        </is>
      </c>
      <c r="J73" t="inlineStr">
        <is>
          <t>0</t>
        </is>
      </c>
      <c r="L73" t="inlineStr">
        <is>
          <t>Farmingdale, N.Y. : Baywood Pub. Co., c1980.</t>
        </is>
      </c>
      <c r="M73" t="inlineStr">
        <is>
          <t>1979</t>
        </is>
      </c>
      <c r="O73" t="inlineStr">
        <is>
          <t>eng</t>
        </is>
      </c>
      <c r="P73" t="inlineStr">
        <is>
          <t>nyu</t>
        </is>
      </c>
      <c r="Q73" t="inlineStr">
        <is>
          <t>Perspectives on aging and human development series ; 3</t>
        </is>
      </c>
      <c r="R73" t="inlineStr">
        <is>
          <t xml:space="preserve">HV </t>
        </is>
      </c>
      <c r="S73" t="n">
        <v>2</v>
      </c>
      <c r="T73" t="n">
        <v>4</v>
      </c>
      <c r="U73" t="inlineStr">
        <is>
          <t>1993-04-26</t>
        </is>
      </c>
      <c r="V73" t="inlineStr">
        <is>
          <t>1994-11-16</t>
        </is>
      </c>
      <c r="W73" t="inlineStr">
        <is>
          <t>1990-04-10</t>
        </is>
      </c>
      <c r="X73" t="inlineStr">
        <is>
          <t>1990-04-10</t>
        </is>
      </c>
      <c r="Y73" t="n">
        <v>406</v>
      </c>
      <c r="Z73" t="n">
        <v>353</v>
      </c>
      <c r="AA73" t="n">
        <v>385</v>
      </c>
      <c r="AB73" t="n">
        <v>4</v>
      </c>
      <c r="AC73" t="n">
        <v>4</v>
      </c>
      <c r="AD73" t="n">
        <v>20</v>
      </c>
      <c r="AE73" t="n">
        <v>21</v>
      </c>
      <c r="AF73" t="n">
        <v>8</v>
      </c>
      <c r="AG73" t="n">
        <v>8</v>
      </c>
      <c r="AH73" t="n">
        <v>4</v>
      </c>
      <c r="AI73" t="n">
        <v>5</v>
      </c>
      <c r="AJ73" t="n">
        <v>11</v>
      </c>
      <c r="AK73" t="n">
        <v>12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HYPERLINK("http://catalog.hathitrust.org/Record/000686930","HathiTrust Record")</f>
        <v/>
      </c>
      <c r="AS73">
        <f>HYPERLINK("https://creighton-primo.hosted.exlibrisgroup.com/primo-explore/search?tab=default_tab&amp;search_scope=EVERYTHING&amp;vid=01CRU&amp;lang=en_US&amp;offset=0&amp;query=any,contains,991001782279702656","Catalog Record")</f>
        <v/>
      </c>
      <c r="AT73">
        <f>HYPERLINK("http://www.worldcat.org/oclc/5491627","WorldCat Record")</f>
        <v/>
      </c>
      <c r="AU73" t="inlineStr">
        <is>
          <t>17992673:eng</t>
        </is>
      </c>
      <c r="AV73" t="inlineStr">
        <is>
          <t>5491627</t>
        </is>
      </c>
      <c r="AW73" t="inlineStr">
        <is>
          <t>991001782279702656</t>
        </is>
      </c>
      <c r="AX73" t="inlineStr">
        <is>
          <t>991001782279702656</t>
        </is>
      </c>
      <c r="AY73" t="inlineStr">
        <is>
          <t>2268542160002656</t>
        </is>
      </c>
      <c r="AZ73" t="inlineStr">
        <is>
          <t>BOOK</t>
        </is>
      </c>
      <c r="BB73" t="inlineStr">
        <is>
          <t>9780895030160</t>
        </is>
      </c>
      <c r="BC73" t="inlineStr">
        <is>
          <t>32285000114487</t>
        </is>
      </c>
      <c r="BD73" t="inlineStr">
        <is>
          <t>893803893</t>
        </is>
      </c>
    </row>
    <row r="74">
      <c r="A74" t="inlineStr">
        <is>
          <t>No</t>
        </is>
      </c>
      <c r="B74" t="inlineStr">
        <is>
          <t>HV1461 .L69 1985</t>
        </is>
      </c>
      <c r="C74" t="inlineStr">
        <is>
          <t>0                      HV 1461000L  69          1985</t>
        </is>
      </c>
      <c r="D74" t="inlineStr">
        <is>
          <t>Social work with the aging : the challenge and promise of the later years / Louis Lowy.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Lowy, Louis.</t>
        </is>
      </c>
      <c r="L74" t="inlineStr">
        <is>
          <t>New York : Longman, c1985.</t>
        </is>
      </c>
      <c r="M74" t="inlineStr">
        <is>
          <t>1985</t>
        </is>
      </c>
      <c r="N74" t="inlineStr">
        <is>
          <t>2nd ed.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HV </t>
        </is>
      </c>
      <c r="S74" t="n">
        <v>8</v>
      </c>
      <c r="T74" t="n">
        <v>8</v>
      </c>
      <c r="U74" t="inlineStr">
        <is>
          <t>2002-04-15</t>
        </is>
      </c>
      <c r="V74" t="inlineStr">
        <is>
          <t>2002-04-15</t>
        </is>
      </c>
      <c r="W74" t="inlineStr">
        <is>
          <t>1991-12-17</t>
        </is>
      </c>
      <c r="X74" t="inlineStr">
        <is>
          <t>1991-12-17</t>
        </is>
      </c>
      <c r="Y74" t="n">
        <v>273</v>
      </c>
      <c r="Z74" t="n">
        <v>241</v>
      </c>
      <c r="AA74" t="n">
        <v>509</v>
      </c>
      <c r="AB74" t="n">
        <v>2</v>
      </c>
      <c r="AC74" t="n">
        <v>8</v>
      </c>
      <c r="AD74" t="n">
        <v>8</v>
      </c>
      <c r="AE74" t="n">
        <v>25</v>
      </c>
      <c r="AF74" t="n">
        <v>2</v>
      </c>
      <c r="AG74" t="n">
        <v>8</v>
      </c>
      <c r="AH74" t="n">
        <v>2</v>
      </c>
      <c r="AI74" t="n">
        <v>4</v>
      </c>
      <c r="AJ74" t="n">
        <v>5</v>
      </c>
      <c r="AK74" t="n">
        <v>10</v>
      </c>
      <c r="AL74" t="n">
        <v>1</v>
      </c>
      <c r="AM74" t="n">
        <v>7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HYPERLINK("http://catalog.hathitrust.org/Record/000650421","HathiTrust Record")</f>
        <v/>
      </c>
      <c r="AS74">
        <f>HYPERLINK("https://creighton-primo.hosted.exlibrisgroup.com/primo-explore/search?tab=default_tab&amp;search_scope=EVERYTHING&amp;vid=01CRU&amp;lang=en_US&amp;offset=0&amp;query=any,contains,991000472359702656","Catalog Record")</f>
        <v/>
      </c>
      <c r="AT74">
        <f>HYPERLINK("http://www.worldcat.org/oclc/10998517","WorldCat Record")</f>
        <v/>
      </c>
      <c r="AU74" t="inlineStr">
        <is>
          <t>3901050115:eng</t>
        </is>
      </c>
      <c r="AV74" t="inlineStr">
        <is>
          <t>10998517</t>
        </is>
      </c>
      <c r="AW74" t="inlineStr">
        <is>
          <t>991000472359702656</t>
        </is>
      </c>
      <c r="AX74" t="inlineStr">
        <is>
          <t>991000472359702656</t>
        </is>
      </c>
      <c r="AY74" t="inlineStr">
        <is>
          <t>2261278300002656</t>
        </is>
      </c>
      <c r="AZ74" t="inlineStr">
        <is>
          <t>BOOK</t>
        </is>
      </c>
      <c r="BB74" t="inlineStr">
        <is>
          <t>9780582284616</t>
        </is>
      </c>
      <c r="BC74" t="inlineStr">
        <is>
          <t>32285000907047</t>
        </is>
      </c>
      <c r="BD74" t="inlineStr">
        <is>
          <t>893777961</t>
        </is>
      </c>
    </row>
    <row r="75">
      <c r="A75" t="inlineStr">
        <is>
          <t>No</t>
        </is>
      </c>
      <c r="B75" t="inlineStr">
        <is>
          <t>HV1461 .S52</t>
        </is>
      </c>
      <c r="C75" t="inlineStr">
        <is>
          <t>0                      HV 1461000S  52</t>
        </is>
      </c>
      <c r="D75" t="inlineStr">
        <is>
          <t>Counseling the aging : an integrative approach / Edmund Sherman.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Sherman, Edmund A.</t>
        </is>
      </c>
      <c r="L75" t="inlineStr">
        <is>
          <t>New York : Free Press, c1981.</t>
        </is>
      </c>
      <c r="M75" t="inlineStr">
        <is>
          <t>1981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HV </t>
        </is>
      </c>
      <c r="S75" t="n">
        <v>3</v>
      </c>
      <c r="T75" t="n">
        <v>3</v>
      </c>
      <c r="U75" t="inlineStr">
        <is>
          <t>1997-06-28</t>
        </is>
      </c>
      <c r="V75" t="inlineStr">
        <is>
          <t>1997-06-28</t>
        </is>
      </c>
      <c r="W75" t="inlineStr">
        <is>
          <t>1992-03-24</t>
        </is>
      </c>
      <c r="X75" t="inlineStr">
        <is>
          <t>1992-03-24</t>
        </is>
      </c>
      <c r="Y75" t="n">
        <v>502</v>
      </c>
      <c r="Z75" t="n">
        <v>422</v>
      </c>
      <c r="AA75" t="n">
        <v>428</v>
      </c>
      <c r="AB75" t="n">
        <v>4</v>
      </c>
      <c r="AC75" t="n">
        <v>4</v>
      </c>
      <c r="AD75" t="n">
        <v>20</v>
      </c>
      <c r="AE75" t="n">
        <v>20</v>
      </c>
      <c r="AF75" t="n">
        <v>8</v>
      </c>
      <c r="AG75" t="n">
        <v>8</v>
      </c>
      <c r="AH75" t="n">
        <v>6</v>
      </c>
      <c r="AI75" t="n">
        <v>6</v>
      </c>
      <c r="AJ75" t="n">
        <v>8</v>
      </c>
      <c r="AK75" t="n">
        <v>8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HYPERLINK("http://catalog.hathitrust.org/Record/000473412","HathiTrust Record")</f>
        <v/>
      </c>
      <c r="AS75">
        <f>HYPERLINK("https://creighton-primo.hosted.exlibrisgroup.com/primo-explore/search?tab=default_tab&amp;search_scope=EVERYTHING&amp;vid=01CRU&amp;lang=en_US&amp;offset=0&amp;query=any,contains,991005130879702656","Catalog Record")</f>
        <v/>
      </c>
      <c r="AT75">
        <f>HYPERLINK("http://www.worldcat.org/oclc/7572361","WorldCat Record")</f>
        <v/>
      </c>
      <c r="AU75" t="inlineStr">
        <is>
          <t>235246049:eng</t>
        </is>
      </c>
      <c r="AV75" t="inlineStr">
        <is>
          <t>7572361</t>
        </is>
      </c>
      <c r="AW75" t="inlineStr">
        <is>
          <t>991005130879702656</t>
        </is>
      </c>
      <c r="AX75" t="inlineStr">
        <is>
          <t>991005130879702656</t>
        </is>
      </c>
      <c r="AY75" t="inlineStr">
        <is>
          <t>2269922240002656</t>
        </is>
      </c>
      <c r="AZ75" t="inlineStr">
        <is>
          <t>BOOK</t>
        </is>
      </c>
      <c r="BB75" t="inlineStr">
        <is>
          <t>9780029288108</t>
        </is>
      </c>
      <c r="BC75" t="inlineStr">
        <is>
          <t>32285001004034</t>
        </is>
      </c>
      <c r="BD75" t="inlineStr">
        <is>
          <t>893870567</t>
        </is>
      </c>
    </row>
    <row r="76">
      <c r="A76" t="inlineStr">
        <is>
          <t>No</t>
        </is>
      </c>
      <c r="B76" t="inlineStr">
        <is>
          <t>HV1461 .S56 1985</t>
        </is>
      </c>
      <c r="C76" t="inlineStr">
        <is>
          <t>0                      HV 1461000S  56          1985</t>
        </is>
      </c>
      <c r="D76" t="inlineStr">
        <is>
          <t>Social support networks and the care of the elderly : theory, research, and practice / William J. Sauer, Raymond T. Coward, editors.</t>
        </is>
      </c>
      <c r="F76" t="inlineStr">
        <is>
          <t>No</t>
        </is>
      </c>
      <c r="G76" t="inlineStr">
        <is>
          <t>1</t>
        </is>
      </c>
      <c r="H76" t="inlineStr">
        <is>
          <t>Yes</t>
        </is>
      </c>
      <c r="I76" t="inlineStr">
        <is>
          <t>No</t>
        </is>
      </c>
      <c r="J76" t="inlineStr">
        <is>
          <t>0</t>
        </is>
      </c>
      <c r="L76" t="inlineStr">
        <is>
          <t>New York : Springer Pub. Co., c1985.</t>
        </is>
      </c>
      <c r="M76" t="inlineStr">
        <is>
          <t>1985</t>
        </is>
      </c>
      <c r="O76" t="inlineStr">
        <is>
          <t>eng</t>
        </is>
      </c>
      <c r="P76" t="inlineStr">
        <is>
          <t>nyu</t>
        </is>
      </c>
      <c r="Q76" t="inlineStr">
        <is>
          <t>Springer series on adulthood and aging ; v. 14</t>
        </is>
      </c>
      <c r="R76" t="inlineStr">
        <is>
          <t xml:space="preserve">HV </t>
        </is>
      </c>
      <c r="S76" t="n">
        <v>5</v>
      </c>
      <c r="T76" t="n">
        <v>11</v>
      </c>
      <c r="U76" t="inlineStr">
        <is>
          <t>1994-11-22</t>
        </is>
      </c>
      <c r="V76" t="inlineStr">
        <is>
          <t>1998-07-10</t>
        </is>
      </c>
      <c r="W76" t="inlineStr">
        <is>
          <t>1992-05-06</t>
        </is>
      </c>
      <c r="X76" t="inlineStr">
        <is>
          <t>1992-05-06</t>
        </is>
      </c>
      <c r="Y76" t="n">
        <v>451</v>
      </c>
      <c r="Z76" t="n">
        <v>381</v>
      </c>
      <c r="AA76" t="n">
        <v>388</v>
      </c>
      <c r="AB76" t="n">
        <v>4</v>
      </c>
      <c r="AC76" t="n">
        <v>4</v>
      </c>
      <c r="AD76" t="n">
        <v>16</v>
      </c>
      <c r="AE76" t="n">
        <v>16</v>
      </c>
      <c r="AF76" t="n">
        <v>4</v>
      </c>
      <c r="AG76" t="n">
        <v>4</v>
      </c>
      <c r="AH76" t="n">
        <v>5</v>
      </c>
      <c r="AI76" t="n">
        <v>5</v>
      </c>
      <c r="AJ76" t="n">
        <v>9</v>
      </c>
      <c r="AK76" t="n">
        <v>9</v>
      </c>
      <c r="AL76" t="n">
        <v>2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HYPERLINK("http://catalog.hathitrust.org/Record/004401250","HathiTrust Record")</f>
        <v/>
      </c>
      <c r="AS76">
        <f>HYPERLINK("https://creighton-primo.hosted.exlibrisgroup.com/primo-explore/search?tab=default_tab&amp;search_scope=EVERYTHING&amp;vid=01CRU&amp;lang=en_US&amp;offset=0&amp;query=any,contains,991001782639702656","Catalog Record")</f>
        <v/>
      </c>
      <c r="AT76">
        <f>HYPERLINK("http://www.worldcat.org/oclc/12080452","WorldCat Record")</f>
        <v/>
      </c>
      <c r="AU76" t="inlineStr">
        <is>
          <t>429835038:eng</t>
        </is>
      </c>
      <c r="AV76" t="inlineStr">
        <is>
          <t>12080452</t>
        </is>
      </c>
      <c r="AW76" t="inlineStr">
        <is>
          <t>991001782639702656</t>
        </is>
      </c>
      <c r="AX76" t="inlineStr">
        <is>
          <t>991001782639702656</t>
        </is>
      </c>
      <c r="AY76" t="inlineStr">
        <is>
          <t>2267867330002656</t>
        </is>
      </c>
      <c r="AZ76" t="inlineStr">
        <is>
          <t>BOOK</t>
        </is>
      </c>
      <c r="BB76" t="inlineStr">
        <is>
          <t>9780826142702</t>
        </is>
      </c>
      <c r="BC76" t="inlineStr">
        <is>
          <t>32285001120574</t>
        </is>
      </c>
      <c r="BD76" t="inlineStr">
        <is>
          <t>893433139</t>
        </is>
      </c>
    </row>
    <row r="77">
      <c r="A77" t="inlineStr">
        <is>
          <t>No</t>
        </is>
      </c>
      <c r="B77" t="inlineStr">
        <is>
          <t>HV1461 .T66 1992</t>
        </is>
      </c>
      <c r="C77" t="inlineStr">
        <is>
          <t>0                      HV 1461000T  66          1992</t>
        </is>
      </c>
      <c r="D77" t="inlineStr">
        <is>
          <t>The new aging : politics and change in America / Fernando M. Torres-Gil ; foreword by Arthur S. Flemming.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Torres-Gil, Fernando M.</t>
        </is>
      </c>
      <c r="L77" t="inlineStr">
        <is>
          <t>New York : Auburn House, 1992.</t>
        </is>
      </c>
      <c r="M77" t="inlineStr">
        <is>
          <t>1992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HV </t>
        </is>
      </c>
      <c r="S77" t="n">
        <v>8</v>
      </c>
      <c r="T77" t="n">
        <v>8</v>
      </c>
      <c r="U77" t="inlineStr">
        <is>
          <t>1994-03-31</t>
        </is>
      </c>
      <c r="V77" t="inlineStr">
        <is>
          <t>1994-03-31</t>
        </is>
      </c>
      <c r="W77" t="inlineStr">
        <is>
          <t>1992-04-08</t>
        </is>
      </c>
      <c r="X77" t="inlineStr">
        <is>
          <t>1992-04-08</t>
        </is>
      </c>
      <c r="Y77" t="n">
        <v>561</v>
      </c>
      <c r="Z77" t="n">
        <v>510</v>
      </c>
      <c r="AA77" t="n">
        <v>516</v>
      </c>
      <c r="AB77" t="n">
        <v>7</v>
      </c>
      <c r="AC77" t="n">
        <v>7</v>
      </c>
      <c r="AD77" t="n">
        <v>26</v>
      </c>
      <c r="AE77" t="n">
        <v>26</v>
      </c>
      <c r="AF77" t="n">
        <v>10</v>
      </c>
      <c r="AG77" t="n">
        <v>10</v>
      </c>
      <c r="AH77" t="n">
        <v>4</v>
      </c>
      <c r="AI77" t="n">
        <v>4</v>
      </c>
      <c r="AJ77" t="n">
        <v>12</v>
      </c>
      <c r="AK77" t="n">
        <v>12</v>
      </c>
      <c r="AL77" t="n">
        <v>6</v>
      </c>
      <c r="AM77" t="n">
        <v>6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HYPERLINK("http://catalog.hathitrust.org/Record/002501232","HathiTrust Record")</f>
        <v/>
      </c>
      <c r="AS77">
        <f>HYPERLINK("https://creighton-primo.hosted.exlibrisgroup.com/primo-explore/search?tab=default_tab&amp;search_scope=EVERYTHING&amp;vid=01CRU&amp;lang=en_US&amp;offset=0&amp;query=any,contains,991001887929702656","Catalog Record")</f>
        <v/>
      </c>
      <c r="AT77">
        <f>HYPERLINK("http://www.worldcat.org/oclc/23769237","WorldCat Record")</f>
        <v/>
      </c>
      <c r="AU77" t="inlineStr">
        <is>
          <t>2846438:eng</t>
        </is>
      </c>
      <c r="AV77" t="inlineStr">
        <is>
          <t>23769237</t>
        </is>
      </c>
      <c r="AW77" t="inlineStr">
        <is>
          <t>991001887929702656</t>
        </is>
      </c>
      <c r="AX77" t="inlineStr">
        <is>
          <t>991001887929702656</t>
        </is>
      </c>
      <c r="AY77" t="inlineStr">
        <is>
          <t>2271869970002656</t>
        </is>
      </c>
      <c r="AZ77" t="inlineStr">
        <is>
          <t>BOOK</t>
        </is>
      </c>
      <c r="BB77" t="inlineStr">
        <is>
          <t>9780865690363</t>
        </is>
      </c>
      <c r="BC77" t="inlineStr">
        <is>
          <t>32285001008985</t>
        </is>
      </c>
      <c r="BD77" t="inlineStr">
        <is>
          <t>893684725</t>
        </is>
      </c>
    </row>
    <row r="78">
      <c r="A78" t="inlineStr">
        <is>
          <t>No</t>
        </is>
      </c>
      <c r="B78" t="inlineStr">
        <is>
          <t>HV1461 .W495 1993</t>
        </is>
      </c>
      <c r="C78" t="inlineStr">
        <is>
          <t>0                      HV 1461000W  495         1993</t>
        </is>
      </c>
      <c r="D78" t="inlineStr">
        <is>
          <t>Who is responsible for my old age? / Robert N. Butler, Kenzo Kiikuni, editors.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L78" t="inlineStr">
        <is>
          <t>New York : Springer Pub. Co., c1993.</t>
        </is>
      </c>
      <c r="M78" t="inlineStr">
        <is>
          <t>1993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HV </t>
        </is>
      </c>
      <c r="S78" t="n">
        <v>19</v>
      </c>
      <c r="T78" t="n">
        <v>19</v>
      </c>
      <c r="U78" t="inlineStr">
        <is>
          <t>2006-11-28</t>
        </is>
      </c>
      <c r="V78" t="inlineStr">
        <is>
          <t>2006-11-28</t>
        </is>
      </c>
      <c r="W78" t="inlineStr">
        <is>
          <t>1993-03-31</t>
        </is>
      </c>
      <c r="X78" t="inlineStr">
        <is>
          <t>1993-03-31</t>
        </is>
      </c>
      <c r="Y78" t="n">
        <v>267</v>
      </c>
      <c r="Z78" t="n">
        <v>224</v>
      </c>
      <c r="AA78" t="n">
        <v>230</v>
      </c>
      <c r="AB78" t="n">
        <v>3</v>
      </c>
      <c r="AC78" t="n">
        <v>3</v>
      </c>
      <c r="AD78" t="n">
        <v>9</v>
      </c>
      <c r="AE78" t="n">
        <v>9</v>
      </c>
      <c r="AF78" t="n">
        <v>1</v>
      </c>
      <c r="AG78" t="n">
        <v>1</v>
      </c>
      <c r="AH78" t="n">
        <v>3</v>
      </c>
      <c r="AI78" t="n">
        <v>3</v>
      </c>
      <c r="AJ78" t="n">
        <v>5</v>
      </c>
      <c r="AK78" t="n">
        <v>5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HYPERLINK("http://catalog.hathitrust.org/Record/002597377","HathiTrust Record")</f>
        <v/>
      </c>
      <c r="AS78">
        <f>HYPERLINK("https://creighton-primo.hosted.exlibrisgroup.com/primo-explore/search?tab=default_tab&amp;search_scope=EVERYTHING&amp;vid=01CRU&amp;lang=en_US&amp;offset=0&amp;query=any,contains,991002050679702656","Catalog Record")</f>
        <v/>
      </c>
      <c r="AT78">
        <f>HYPERLINK("http://www.worldcat.org/oclc/26161681","WorldCat Record")</f>
        <v/>
      </c>
      <c r="AU78" t="inlineStr">
        <is>
          <t>476344800:eng</t>
        </is>
      </c>
      <c r="AV78" t="inlineStr">
        <is>
          <t>26161681</t>
        </is>
      </c>
      <c r="AW78" t="inlineStr">
        <is>
          <t>991002050679702656</t>
        </is>
      </c>
      <c r="AX78" t="inlineStr">
        <is>
          <t>991002050679702656</t>
        </is>
      </c>
      <c r="AY78" t="inlineStr">
        <is>
          <t>2269892340002656</t>
        </is>
      </c>
      <c r="AZ78" t="inlineStr">
        <is>
          <t>BOOK</t>
        </is>
      </c>
      <c r="BB78" t="inlineStr">
        <is>
          <t>9780826181404</t>
        </is>
      </c>
      <c r="BC78" t="inlineStr">
        <is>
          <t>32285001499408</t>
        </is>
      </c>
      <c r="BD78" t="inlineStr">
        <is>
          <t>893334879</t>
        </is>
      </c>
    </row>
    <row r="79">
      <c r="A79" t="inlineStr">
        <is>
          <t>No</t>
        </is>
      </c>
      <c r="B79" t="inlineStr">
        <is>
          <t>HV1465 .O25 1982</t>
        </is>
      </c>
      <c r="C79" t="inlineStr">
        <is>
          <t>0                      HV 1465000O  25          1982</t>
        </is>
      </c>
      <c r="D79" t="inlineStr">
        <is>
          <t>Adult day care : a practical guide / Carole Lium O'Brien.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O'Brien, Carole Lium.</t>
        </is>
      </c>
      <c r="L79" t="inlineStr">
        <is>
          <t>Monterey, CA : Wadsworth Health Sciences Division, c1982.</t>
        </is>
      </c>
      <c r="M79" t="inlineStr">
        <is>
          <t>1982</t>
        </is>
      </c>
      <c r="O79" t="inlineStr">
        <is>
          <t>eng</t>
        </is>
      </c>
      <c r="P79" t="inlineStr">
        <is>
          <t>cau</t>
        </is>
      </c>
      <c r="R79" t="inlineStr">
        <is>
          <t xml:space="preserve">HV </t>
        </is>
      </c>
      <c r="S79" t="n">
        <v>3</v>
      </c>
      <c r="T79" t="n">
        <v>3</v>
      </c>
      <c r="U79" t="inlineStr">
        <is>
          <t>1996-02-13</t>
        </is>
      </c>
      <c r="V79" t="inlineStr">
        <is>
          <t>1996-02-13</t>
        </is>
      </c>
      <c r="W79" t="inlineStr">
        <is>
          <t>1992-06-29</t>
        </is>
      </c>
      <c r="X79" t="inlineStr">
        <is>
          <t>1992-06-29</t>
        </is>
      </c>
      <c r="Y79" t="n">
        <v>205</v>
      </c>
      <c r="Z79" t="n">
        <v>185</v>
      </c>
      <c r="AA79" t="n">
        <v>192</v>
      </c>
      <c r="AB79" t="n">
        <v>4</v>
      </c>
      <c r="AC79" t="n">
        <v>4</v>
      </c>
      <c r="AD79" t="n">
        <v>8</v>
      </c>
      <c r="AE79" t="n">
        <v>8</v>
      </c>
      <c r="AF79" t="n">
        <v>2</v>
      </c>
      <c r="AG79" t="n">
        <v>2</v>
      </c>
      <c r="AH79" t="n">
        <v>1</v>
      </c>
      <c r="AI79" t="n">
        <v>1</v>
      </c>
      <c r="AJ79" t="n">
        <v>3</v>
      </c>
      <c r="AK79" t="n">
        <v>3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HYPERLINK("http://catalog.hathitrust.org/Record/000190416","HathiTrust Record")</f>
        <v/>
      </c>
      <c r="AS79">
        <f>HYPERLINK("https://creighton-primo.hosted.exlibrisgroup.com/primo-explore/search?tab=default_tab&amp;search_scope=EVERYTHING&amp;vid=01CRU&amp;lang=en_US&amp;offset=0&amp;query=any,contains,991005181839702656","Catalog Record")</f>
        <v/>
      </c>
      <c r="AT79">
        <f>HYPERLINK("http://www.worldcat.org/oclc/7946732","WorldCat Record")</f>
        <v/>
      </c>
      <c r="AU79" t="inlineStr">
        <is>
          <t>427714912:eng</t>
        </is>
      </c>
      <c r="AV79" t="inlineStr">
        <is>
          <t>7946732</t>
        </is>
      </c>
      <c r="AW79" t="inlineStr">
        <is>
          <t>991005181839702656</t>
        </is>
      </c>
      <c r="AX79" t="inlineStr">
        <is>
          <t>991005181839702656</t>
        </is>
      </c>
      <c r="AY79" t="inlineStr">
        <is>
          <t>2272434390002656</t>
        </is>
      </c>
      <c r="AZ79" t="inlineStr">
        <is>
          <t>BOOK</t>
        </is>
      </c>
      <c r="BB79" t="inlineStr">
        <is>
          <t>9780818505065</t>
        </is>
      </c>
      <c r="BC79" t="inlineStr">
        <is>
          <t>32285001180529</t>
        </is>
      </c>
      <c r="BD79" t="inlineStr">
        <is>
          <t>893248501</t>
        </is>
      </c>
    </row>
    <row r="80">
      <c r="A80" t="inlineStr">
        <is>
          <t>No</t>
        </is>
      </c>
      <c r="B80" t="inlineStr">
        <is>
          <t>HV1465 .Ơ87 1977</t>
        </is>
      </c>
      <c r="C80" t="inlineStr">
        <is>
          <t>0                      HV 1465000                                                           .Ơ87 1977</t>
        </is>
      </c>
      <c r="D80" t="inlineStr">
        <is>
          <t>When your parents grow old : information and resources to help the adult son or daughter cope with the problems of aging parents / Jane Otten and Florence D. Shelley.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Otten, Jane.</t>
        </is>
      </c>
      <c r="L80" t="inlineStr">
        <is>
          <t>New York : New American Library, c1977.</t>
        </is>
      </c>
      <c r="M80" t="inlineStr">
        <is>
          <t>1977</t>
        </is>
      </c>
      <c r="N80" t="inlineStr">
        <is>
          <t>Rev. and updated.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HV </t>
        </is>
      </c>
      <c r="S80" t="n">
        <v>4</v>
      </c>
      <c r="T80" t="n">
        <v>4</v>
      </c>
      <c r="U80" t="inlineStr">
        <is>
          <t>2002-04-15</t>
        </is>
      </c>
      <c r="V80" t="inlineStr">
        <is>
          <t>2002-04-15</t>
        </is>
      </c>
      <c r="W80" t="inlineStr">
        <is>
          <t>1991-12-17</t>
        </is>
      </c>
      <c r="X80" t="inlineStr">
        <is>
          <t>1991-12-17</t>
        </is>
      </c>
      <c r="Y80" t="n">
        <v>33</v>
      </c>
      <c r="Z80" t="n">
        <v>31</v>
      </c>
      <c r="AA80" t="n">
        <v>477</v>
      </c>
      <c r="AB80" t="n">
        <v>1</v>
      </c>
      <c r="AC80" t="n">
        <v>4</v>
      </c>
      <c r="AD80" t="n">
        <v>0</v>
      </c>
      <c r="AE80" t="n">
        <v>4</v>
      </c>
      <c r="AF80" t="n">
        <v>0</v>
      </c>
      <c r="AG80" t="n">
        <v>2</v>
      </c>
      <c r="AH80" t="n">
        <v>0</v>
      </c>
      <c r="AI80" t="n">
        <v>1</v>
      </c>
      <c r="AJ80" t="n">
        <v>0</v>
      </c>
      <c r="AK80" t="n">
        <v>0</v>
      </c>
      <c r="AL80" t="n">
        <v>0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HYPERLINK("https://creighton-primo.hosted.exlibrisgroup.com/primo-explore/search?tab=default_tab&amp;search_scope=EVERYTHING&amp;vid=01CRU&amp;lang=en_US&amp;offset=0&amp;query=any,contains,991004514419702656","Catalog Record")</f>
        <v/>
      </c>
      <c r="AT80">
        <f>HYPERLINK("http://www.worldcat.org/oclc/3779245","WorldCat Record")</f>
        <v/>
      </c>
      <c r="AU80" t="inlineStr">
        <is>
          <t>4218501:eng</t>
        </is>
      </c>
      <c r="AV80" t="inlineStr">
        <is>
          <t>3779245</t>
        </is>
      </c>
      <c r="AW80" t="inlineStr">
        <is>
          <t>991004514419702656</t>
        </is>
      </c>
      <c r="AX80" t="inlineStr">
        <is>
          <t>991004514419702656</t>
        </is>
      </c>
      <c r="AY80" t="inlineStr">
        <is>
          <t>2258619940002656</t>
        </is>
      </c>
      <c r="AZ80" t="inlineStr">
        <is>
          <t>BOOK</t>
        </is>
      </c>
      <c r="BB80" t="inlineStr">
        <is>
          <t>9780451078827</t>
        </is>
      </c>
      <c r="BC80" t="inlineStr">
        <is>
          <t>32285000907070</t>
        </is>
      </c>
      <c r="BD80" t="inlineStr">
        <is>
          <t>893446259</t>
        </is>
      </c>
    </row>
    <row r="81">
      <c r="A81" t="inlineStr">
        <is>
          <t>No</t>
        </is>
      </c>
      <c r="B81" t="inlineStr">
        <is>
          <t>HV1475 .A24 1985</t>
        </is>
      </c>
      <c r="C81" t="inlineStr">
        <is>
          <t>0                      HV 1475000A  24          1985</t>
        </is>
      </c>
      <c r="D81" t="inlineStr">
        <is>
          <t>A will and a way : what the United States can learn from Canada about caring for the elderly / Robert L. Kane and Rosalie A. Kane.</t>
        </is>
      </c>
      <c r="F81" t="inlineStr">
        <is>
          <t>No</t>
        </is>
      </c>
      <c r="G81" t="inlineStr">
        <is>
          <t>1</t>
        </is>
      </c>
      <c r="H81" t="inlineStr">
        <is>
          <t>Yes</t>
        </is>
      </c>
      <c r="I81" t="inlineStr">
        <is>
          <t>No</t>
        </is>
      </c>
      <c r="J81" t="inlineStr">
        <is>
          <t>0</t>
        </is>
      </c>
      <c r="K81" t="inlineStr">
        <is>
          <t>Kane, Robert L., 1940-2017.</t>
        </is>
      </c>
      <c r="L81" t="inlineStr">
        <is>
          <t>New York : Columbia University Press, 1985.</t>
        </is>
      </c>
      <c r="M81" t="inlineStr">
        <is>
          <t>1985</t>
        </is>
      </c>
      <c r="O81" t="inlineStr">
        <is>
          <t>eng</t>
        </is>
      </c>
      <c r="P81" t="inlineStr">
        <is>
          <t>nyu</t>
        </is>
      </c>
      <c r="Q81" t="inlineStr">
        <is>
          <t>Columbia studies of social gerontology and aging</t>
        </is>
      </c>
      <c r="R81" t="inlineStr">
        <is>
          <t xml:space="preserve">HV </t>
        </is>
      </c>
      <c r="S81" t="n">
        <v>16</v>
      </c>
      <c r="T81" t="n">
        <v>16</v>
      </c>
      <c r="U81" t="inlineStr">
        <is>
          <t>2000-02-19</t>
        </is>
      </c>
      <c r="V81" t="inlineStr">
        <is>
          <t>2000-02-19</t>
        </is>
      </c>
      <c r="W81" t="inlineStr">
        <is>
          <t>1992-02-20</t>
        </is>
      </c>
      <c r="X81" t="inlineStr">
        <is>
          <t>1992-02-20</t>
        </is>
      </c>
      <c r="Y81" t="n">
        <v>548</v>
      </c>
      <c r="Z81" t="n">
        <v>467</v>
      </c>
      <c r="AA81" t="n">
        <v>474</v>
      </c>
      <c r="AB81" t="n">
        <v>5</v>
      </c>
      <c r="AC81" t="n">
        <v>5</v>
      </c>
      <c r="AD81" t="n">
        <v>27</v>
      </c>
      <c r="AE81" t="n">
        <v>27</v>
      </c>
      <c r="AF81" t="n">
        <v>10</v>
      </c>
      <c r="AG81" t="n">
        <v>10</v>
      </c>
      <c r="AH81" t="n">
        <v>5</v>
      </c>
      <c r="AI81" t="n">
        <v>5</v>
      </c>
      <c r="AJ81" t="n">
        <v>11</v>
      </c>
      <c r="AK81" t="n">
        <v>11</v>
      </c>
      <c r="AL81" t="n">
        <v>3</v>
      </c>
      <c r="AM81" t="n">
        <v>3</v>
      </c>
      <c r="AN81" t="n">
        <v>4</v>
      </c>
      <c r="AO81" t="n">
        <v>4</v>
      </c>
      <c r="AP81" t="inlineStr">
        <is>
          <t>No</t>
        </is>
      </c>
      <c r="AQ81" t="inlineStr">
        <is>
          <t>No</t>
        </is>
      </c>
      <c r="AS81">
        <f>HYPERLINK("https://creighton-primo.hosted.exlibrisgroup.com/primo-explore/search?tab=default_tab&amp;search_scope=EVERYTHING&amp;vid=01CRU&amp;lang=en_US&amp;offset=0&amp;query=any,contains,991000662829702656","Catalog Record")</f>
        <v/>
      </c>
      <c r="AT81">
        <f>HYPERLINK("http://www.worldcat.org/oclc/12262178","WorldCat Record")</f>
        <v/>
      </c>
      <c r="AU81" t="inlineStr">
        <is>
          <t>836721362:eng</t>
        </is>
      </c>
      <c r="AV81" t="inlineStr">
        <is>
          <t>12262178</t>
        </is>
      </c>
      <c r="AW81" t="inlineStr">
        <is>
          <t>991000662829702656</t>
        </is>
      </c>
      <c r="AX81" t="inlineStr">
        <is>
          <t>991000662829702656</t>
        </is>
      </c>
      <c r="AY81" t="inlineStr">
        <is>
          <t>2270633040002656</t>
        </is>
      </c>
      <c r="AZ81" t="inlineStr">
        <is>
          <t>BOOK</t>
        </is>
      </c>
      <c r="BB81" t="inlineStr">
        <is>
          <t>9780231061360</t>
        </is>
      </c>
      <c r="BC81" t="inlineStr">
        <is>
          <t>32285000948231</t>
        </is>
      </c>
      <c r="BD81" t="inlineStr">
        <is>
          <t>893620680</t>
        </is>
      </c>
    </row>
    <row r="82">
      <c r="A82" t="inlineStr">
        <is>
          <t>No</t>
        </is>
      </c>
      <c r="B82" t="inlineStr">
        <is>
          <t>HV1553 .A595 1993</t>
        </is>
      </c>
      <c r="C82" t="inlineStr">
        <is>
          <t>0                      HV 1553000A  595         1993</t>
        </is>
      </c>
      <c r="D82" t="inlineStr">
        <is>
          <t>The ADA mandate for social change / edited by Paul Wehman.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Baltimore : P.H. Brookes Pub. Co., c1993.</t>
        </is>
      </c>
      <c r="M82" t="inlineStr">
        <is>
          <t>1993</t>
        </is>
      </c>
      <c r="O82" t="inlineStr">
        <is>
          <t>eng</t>
        </is>
      </c>
      <c r="P82" t="inlineStr">
        <is>
          <t>mdu</t>
        </is>
      </c>
      <c r="R82" t="inlineStr">
        <is>
          <t xml:space="preserve">HV </t>
        </is>
      </c>
      <c r="S82" t="n">
        <v>19</v>
      </c>
      <c r="T82" t="n">
        <v>19</v>
      </c>
      <c r="U82" t="inlineStr">
        <is>
          <t>1997-11-12</t>
        </is>
      </c>
      <c r="V82" t="inlineStr">
        <is>
          <t>1997-11-12</t>
        </is>
      </c>
      <c r="W82" t="inlineStr">
        <is>
          <t>1993-09-24</t>
        </is>
      </c>
      <c r="X82" t="inlineStr">
        <is>
          <t>1993-09-24</t>
        </is>
      </c>
      <c r="Y82" t="n">
        <v>350</v>
      </c>
      <c r="Z82" t="n">
        <v>311</v>
      </c>
      <c r="AA82" t="n">
        <v>319</v>
      </c>
      <c r="AB82" t="n">
        <v>5</v>
      </c>
      <c r="AC82" t="n">
        <v>5</v>
      </c>
      <c r="AD82" t="n">
        <v>17</v>
      </c>
      <c r="AE82" t="n">
        <v>17</v>
      </c>
      <c r="AF82" t="n">
        <v>3</v>
      </c>
      <c r="AG82" t="n">
        <v>3</v>
      </c>
      <c r="AH82" t="n">
        <v>3</v>
      </c>
      <c r="AI82" t="n">
        <v>3</v>
      </c>
      <c r="AJ82" t="n">
        <v>6</v>
      </c>
      <c r="AK82" t="n">
        <v>6</v>
      </c>
      <c r="AL82" t="n">
        <v>4</v>
      </c>
      <c r="AM82" t="n">
        <v>4</v>
      </c>
      <c r="AN82" t="n">
        <v>3</v>
      </c>
      <c r="AO82" t="n">
        <v>3</v>
      </c>
      <c r="AP82" t="inlineStr">
        <is>
          <t>No</t>
        </is>
      </c>
      <c r="AQ82" t="inlineStr">
        <is>
          <t>Yes</t>
        </is>
      </c>
      <c r="AR82">
        <f>HYPERLINK("http://catalog.hathitrust.org/Record/002606278","HathiTrust Record")</f>
        <v/>
      </c>
      <c r="AS82">
        <f>HYPERLINK("https://creighton-primo.hosted.exlibrisgroup.com/primo-explore/search?tab=default_tab&amp;search_scope=EVERYTHING&amp;vid=01CRU&amp;lang=en_US&amp;offset=0&amp;query=any,contains,991002075369702656","Catalog Record")</f>
        <v/>
      </c>
      <c r="AT82">
        <f>HYPERLINK("http://www.worldcat.org/oclc/26591251","WorldCat Record")</f>
        <v/>
      </c>
      <c r="AU82" t="inlineStr">
        <is>
          <t>55626658:eng</t>
        </is>
      </c>
      <c r="AV82" t="inlineStr">
        <is>
          <t>26591251</t>
        </is>
      </c>
      <c r="AW82" t="inlineStr">
        <is>
          <t>991002075369702656</t>
        </is>
      </c>
      <c r="AX82" t="inlineStr">
        <is>
          <t>991002075369702656</t>
        </is>
      </c>
      <c r="AY82" t="inlineStr">
        <is>
          <t>2272297690002656</t>
        </is>
      </c>
      <c r="AZ82" t="inlineStr">
        <is>
          <t>BOOK</t>
        </is>
      </c>
      <c r="BB82" t="inlineStr">
        <is>
          <t>9781557661173</t>
        </is>
      </c>
      <c r="BC82" t="inlineStr">
        <is>
          <t>32285001767531</t>
        </is>
      </c>
      <c r="BD82" t="inlineStr">
        <is>
          <t>893523161</t>
        </is>
      </c>
    </row>
    <row r="83">
      <c r="A83" t="inlineStr">
        <is>
          <t>No</t>
        </is>
      </c>
      <c r="B83" t="inlineStr">
        <is>
          <t>HV1553 .B47 1987</t>
        </is>
      </c>
      <c r="C83" t="inlineStr">
        <is>
          <t>0                      HV 1553000B  47          1987</t>
        </is>
      </c>
      <c r="D83" t="inlineStr">
        <is>
          <t>Disabled policy : America's programs for the handicapped / Edward D. Berkowitz.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Berkowitz, Edward D.</t>
        </is>
      </c>
      <c r="L83" t="inlineStr">
        <is>
          <t>Cambridge [Cambridgeshire] ; New York : Cambridge University Press, 1987.</t>
        </is>
      </c>
      <c r="M83" t="inlineStr">
        <is>
          <t>1987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HV </t>
        </is>
      </c>
      <c r="S83" t="n">
        <v>4</v>
      </c>
      <c r="T83" t="n">
        <v>4</v>
      </c>
      <c r="U83" t="inlineStr">
        <is>
          <t>2002-11-01</t>
        </is>
      </c>
      <c r="V83" t="inlineStr">
        <is>
          <t>2002-11-01</t>
        </is>
      </c>
      <c r="W83" t="inlineStr">
        <is>
          <t>1992-05-04</t>
        </is>
      </c>
      <c r="X83" t="inlineStr">
        <is>
          <t>1992-05-04</t>
        </is>
      </c>
      <c r="Y83" t="n">
        <v>572</v>
      </c>
      <c r="Z83" t="n">
        <v>491</v>
      </c>
      <c r="AA83" t="n">
        <v>517</v>
      </c>
      <c r="AB83" t="n">
        <v>4</v>
      </c>
      <c r="AC83" t="n">
        <v>4</v>
      </c>
      <c r="AD83" t="n">
        <v>26</v>
      </c>
      <c r="AE83" t="n">
        <v>27</v>
      </c>
      <c r="AF83" t="n">
        <v>6</v>
      </c>
      <c r="AG83" t="n">
        <v>7</v>
      </c>
      <c r="AH83" t="n">
        <v>9</v>
      </c>
      <c r="AI83" t="n">
        <v>9</v>
      </c>
      <c r="AJ83" t="n">
        <v>10</v>
      </c>
      <c r="AK83" t="n">
        <v>10</v>
      </c>
      <c r="AL83" t="n">
        <v>3</v>
      </c>
      <c r="AM83" t="n">
        <v>3</v>
      </c>
      <c r="AN83" t="n">
        <v>3</v>
      </c>
      <c r="AO83" t="n">
        <v>3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HYPERLINK("https://creighton-primo.hosted.exlibrisgroup.com/primo-explore/search?tab=default_tab&amp;search_scope=EVERYTHING&amp;vid=01CRU&amp;lang=en_US&amp;offset=0&amp;query=any,contains,991000937579702656","Catalog Record")</f>
        <v/>
      </c>
      <c r="AT83">
        <f>HYPERLINK("http://www.worldcat.org/oclc/14376753","WorldCat Record")</f>
        <v/>
      </c>
      <c r="AU83" t="inlineStr">
        <is>
          <t>8730260:eng</t>
        </is>
      </c>
      <c r="AV83" t="inlineStr">
        <is>
          <t>14376753</t>
        </is>
      </c>
      <c r="AW83" t="inlineStr">
        <is>
          <t>991000937579702656</t>
        </is>
      </c>
      <c r="AX83" t="inlineStr">
        <is>
          <t>991000937579702656</t>
        </is>
      </c>
      <c r="AY83" t="inlineStr">
        <is>
          <t>2264019040002656</t>
        </is>
      </c>
      <c r="AZ83" t="inlineStr">
        <is>
          <t>BOOK</t>
        </is>
      </c>
      <c r="BB83" t="inlineStr">
        <is>
          <t>9780521340144</t>
        </is>
      </c>
      <c r="BC83" t="inlineStr">
        <is>
          <t>32285001092922</t>
        </is>
      </c>
      <c r="BD83" t="inlineStr">
        <is>
          <t>893803204</t>
        </is>
      </c>
    </row>
    <row r="84">
      <c r="A84" t="inlineStr">
        <is>
          <t>No</t>
        </is>
      </c>
      <c r="B84" t="inlineStr">
        <is>
          <t>HV1553 .O74</t>
        </is>
      </c>
      <c r="C84" t="inlineStr">
        <is>
          <t>0                      HV 1553000O  74</t>
        </is>
      </c>
      <c r="D84" t="inlineStr">
        <is>
          <t>Voices, interviews with handicapped people / Michael D. Orlansky, William L. Heward.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Orlansky, Michael D.</t>
        </is>
      </c>
      <c r="L84" t="inlineStr">
        <is>
          <t>Columbus : C.E. Merrill Pub. Co., c1981.</t>
        </is>
      </c>
      <c r="M84" t="inlineStr">
        <is>
          <t>1981</t>
        </is>
      </c>
      <c r="O84" t="inlineStr">
        <is>
          <t>eng</t>
        </is>
      </c>
      <c r="P84" t="inlineStr">
        <is>
          <t>ohu</t>
        </is>
      </c>
      <c r="R84" t="inlineStr">
        <is>
          <t xml:space="preserve">HV </t>
        </is>
      </c>
      <c r="S84" t="n">
        <v>4</v>
      </c>
      <c r="T84" t="n">
        <v>4</v>
      </c>
      <c r="U84" t="inlineStr">
        <is>
          <t>2000-02-20</t>
        </is>
      </c>
      <c r="V84" t="inlineStr">
        <is>
          <t>2000-02-20</t>
        </is>
      </c>
      <c r="W84" t="inlineStr">
        <is>
          <t>1992-06-24</t>
        </is>
      </c>
      <c r="X84" t="inlineStr">
        <is>
          <t>1992-06-24</t>
        </is>
      </c>
      <c r="Y84" t="n">
        <v>274</v>
      </c>
      <c r="Z84" t="n">
        <v>236</v>
      </c>
      <c r="AA84" t="n">
        <v>237</v>
      </c>
      <c r="AB84" t="n">
        <v>2</v>
      </c>
      <c r="AC84" t="n">
        <v>2</v>
      </c>
      <c r="AD84" t="n">
        <v>8</v>
      </c>
      <c r="AE84" t="n">
        <v>8</v>
      </c>
      <c r="AF84" t="n">
        <v>8</v>
      </c>
      <c r="AG84" t="n">
        <v>8</v>
      </c>
      <c r="AH84" t="n">
        <v>0</v>
      </c>
      <c r="AI84" t="n">
        <v>0</v>
      </c>
      <c r="AJ84" t="n">
        <v>2</v>
      </c>
      <c r="AK84" t="n">
        <v>2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HYPERLINK("http://catalog.hathitrust.org/Record/101919905","HathiTrust Record")</f>
        <v/>
      </c>
      <c r="AS84">
        <f>HYPERLINK("https://creighton-primo.hosted.exlibrisgroup.com/primo-explore/search?tab=default_tab&amp;search_scope=EVERYTHING&amp;vid=01CRU&amp;lang=en_US&amp;offset=0&amp;query=any,contains,991005156269702656","Catalog Record")</f>
        <v/>
      </c>
      <c r="AT84">
        <f>HYPERLINK("http://www.worldcat.org/oclc/7740147","WorldCat Record")</f>
        <v/>
      </c>
      <c r="AU84" t="inlineStr">
        <is>
          <t>29786578:eng</t>
        </is>
      </c>
      <c r="AV84" t="inlineStr">
        <is>
          <t>7740147</t>
        </is>
      </c>
      <c r="AW84" t="inlineStr">
        <is>
          <t>991005156269702656</t>
        </is>
      </c>
      <c r="AX84" t="inlineStr">
        <is>
          <t>991005156269702656</t>
        </is>
      </c>
      <c r="AY84" t="inlineStr">
        <is>
          <t>2264200110002656</t>
        </is>
      </c>
      <c r="AZ84" t="inlineStr">
        <is>
          <t>BOOK</t>
        </is>
      </c>
      <c r="BB84" t="inlineStr">
        <is>
          <t>9780675080248</t>
        </is>
      </c>
      <c r="BC84" t="inlineStr">
        <is>
          <t>32285001180370</t>
        </is>
      </c>
      <c r="BD84" t="inlineStr">
        <is>
          <t>893713541</t>
        </is>
      </c>
    </row>
    <row r="85">
      <c r="A85" t="inlineStr">
        <is>
          <t>No</t>
        </is>
      </c>
      <c r="B85" t="inlineStr">
        <is>
          <t>HV1553 .S64 1987</t>
        </is>
      </c>
      <c r="C85" t="inlineStr">
        <is>
          <t>0                      HV 1553000S  64          1987</t>
        </is>
      </c>
      <c r="D85" t="inlineStr">
        <is>
          <t>Women take care : the consequences of caregiving in today's society / Tish Sommers, Laurie Shields ; with the Older Women's League, Task Force on Caregivers, and Judy MacLean, consulting writer.</t>
        </is>
      </c>
      <c r="F85" t="inlineStr">
        <is>
          <t>No</t>
        </is>
      </c>
      <c r="G85" t="inlineStr">
        <is>
          <t>1</t>
        </is>
      </c>
      <c r="H85" t="inlineStr">
        <is>
          <t>Yes</t>
        </is>
      </c>
      <c r="I85" t="inlineStr">
        <is>
          <t>No</t>
        </is>
      </c>
      <c r="J85" t="inlineStr">
        <is>
          <t>0</t>
        </is>
      </c>
      <c r="K85" t="inlineStr">
        <is>
          <t>Sommers, Tish.</t>
        </is>
      </c>
      <c r="L85" t="inlineStr">
        <is>
          <t>Gainesville, Fla. : Triad Pub. Co., 1987.</t>
        </is>
      </c>
      <c r="M85" t="inlineStr">
        <is>
          <t>1987</t>
        </is>
      </c>
      <c r="O85" t="inlineStr">
        <is>
          <t>eng</t>
        </is>
      </c>
      <c r="P85" t="inlineStr">
        <is>
          <t>flu</t>
        </is>
      </c>
      <c r="R85" t="inlineStr">
        <is>
          <t xml:space="preserve">HV </t>
        </is>
      </c>
      <c r="S85" t="n">
        <v>6</v>
      </c>
      <c r="T85" t="n">
        <v>9</v>
      </c>
      <c r="U85" t="inlineStr">
        <is>
          <t>2008-04-07</t>
        </is>
      </c>
      <c r="V85" t="inlineStr">
        <is>
          <t>2008-04-07</t>
        </is>
      </c>
      <c r="W85" t="inlineStr">
        <is>
          <t>1990-04-30</t>
        </is>
      </c>
      <c r="X85" t="inlineStr">
        <is>
          <t>1992-09-25</t>
        </is>
      </c>
      <c r="Y85" t="n">
        <v>348</v>
      </c>
      <c r="Z85" t="n">
        <v>330</v>
      </c>
      <c r="AA85" t="n">
        <v>337</v>
      </c>
      <c r="AB85" t="n">
        <v>4</v>
      </c>
      <c r="AC85" t="n">
        <v>4</v>
      </c>
      <c r="AD85" t="n">
        <v>8</v>
      </c>
      <c r="AE85" t="n">
        <v>8</v>
      </c>
      <c r="AF85" t="n">
        <v>1</v>
      </c>
      <c r="AG85" t="n">
        <v>1</v>
      </c>
      <c r="AH85" t="n">
        <v>1</v>
      </c>
      <c r="AI85" t="n">
        <v>1</v>
      </c>
      <c r="AJ85" t="n">
        <v>5</v>
      </c>
      <c r="AK85" t="n">
        <v>5</v>
      </c>
      <c r="AL85" t="n">
        <v>2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HYPERLINK("http://catalog.hathitrust.org/Record/001290976","HathiTrust Record")</f>
        <v/>
      </c>
      <c r="AS85">
        <f>HYPERLINK("https://creighton-primo.hosted.exlibrisgroup.com/primo-explore/search?tab=default_tab&amp;search_scope=EVERYTHING&amp;vid=01CRU&amp;lang=en_US&amp;offset=0&amp;query=any,contains,991001796639702656","Catalog Record")</f>
        <v/>
      </c>
      <c r="AT85">
        <f>HYPERLINK("http://www.worldcat.org/oclc/16684349","WorldCat Record")</f>
        <v/>
      </c>
      <c r="AU85" t="inlineStr">
        <is>
          <t>431183152:eng</t>
        </is>
      </c>
      <c r="AV85" t="inlineStr">
        <is>
          <t>16684349</t>
        </is>
      </c>
      <c r="AW85" t="inlineStr">
        <is>
          <t>991001796639702656</t>
        </is>
      </c>
      <c r="AX85" t="inlineStr">
        <is>
          <t>991001796639702656</t>
        </is>
      </c>
      <c r="AY85" t="inlineStr">
        <is>
          <t>2272544600002656</t>
        </is>
      </c>
      <c r="AZ85" t="inlineStr">
        <is>
          <t>BOOK</t>
        </is>
      </c>
      <c r="BB85" t="inlineStr">
        <is>
          <t>9780937404270</t>
        </is>
      </c>
      <c r="BC85" t="inlineStr">
        <is>
          <t>32285000134881</t>
        </is>
      </c>
      <c r="BD85" t="inlineStr">
        <is>
          <t>893903580</t>
        </is>
      </c>
    </row>
    <row r="86">
      <c r="A86" t="inlineStr">
        <is>
          <t>No</t>
        </is>
      </c>
      <c r="B86" t="inlineStr">
        <is>
          <t>HV1568 .H37 1984</t>
        </is>
      </c>
      <c r="C86" t="inlineStr">
        <is>
          <t>0                      HV 1568000H  37          1984</t>
        </is>
      </c>
      <c r="D86" t="inlineStr">
        <is>
          <t>Human exceptionality : society, school, and family / Michael L. Hardman, Clifford J. Drew, M. Winston Egan.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Hardman, Michael L.</t>
        </is>
      </c>
      <c r="L86" t="inlineStr">
        <is>
          <t>Boston : Allyn and Bacon, c1984.</t>
        </is>
      </c>
      <c r="M86" t="inlineStr">
        <is>
          <t>1984</t>
        </is>
      </c>
      <c r="O86" t="inlineStr">
        <is>
          <t>eng</t>
        </is>
      </c>
      <c r="P86" t="inlineStr">
        <is>
          <t>mau</t>
        </is>
      </c>
      <c r="R86" t="inlineStr">
        <is>
          <t xml:space="preserve">HV </t>
        </is>
      </c>
      <c r="S86" t="n">
        <v>9</v>
      </c>
      <c r="T86" t="n">
        <v>9</v>
      </c>
      <c r="U86" t="inlineStr">
        <is>
          <t>2009-11-09</t>
        </is>
      </c>
      <c r="V86" t="inlineStr">
        <is>
          <t>2009-11-09</t>
        </is>
      </c>
      <c r="W86" t="inlineStr">
        <is>
          <t>1992-06-24</t>
        </is>
      </c>
      <c r="X86" t="inlineStr">
        <is>
          <t>1992-06-24</t>
        </is>
      </c>
      <c r="Y86" t="n">
        <v>145</v>
      </c>
      <c r="Z86" t="n">
        <v>118</v>
      </c>
      <c r="AA86" t="n">
        <v>511</v>
      </c>
      <c r="AB86" t="n">
        <v>1</v>
      </c>
      <c r="AC86" t="n">
        <v>4</v>
      </c>
      <c r="AD86" t="n">
        <v>3</v>
      </c>
      <c r="AE86" t="n">
        <v>17</v>
      </c>
      <c r="AF86" t="n">
        <v>2</v>
      </c>
      <c r="AG86" t="n">
        <v>7</v>
      </c>
      <c r="AH86" t="n">
        <v>0</v>
      </c>
      <c r="AI86" t="n">
        <v>2</v>
      </c>
      <c r="AJ86" t="n">
        <v>1</v>
      </c>
      <c r="AK86" t="n">
        <v>10</v>
      </c>
      <c r="AL86" t="n">
        <v>0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HYPERLINK("http://catalog.hathitrust.org/Record/102330094","HathiTrust Record")</f>
        <v/>
      </c>
      <c r="AS86">
        <f>HYPERLINK("https://creighton-primo.hosted.exlibrisgroup.com/primo-explore/search?tab=default_tab&amp;search_scope=EVERYTHING&amp;vid=01CRU&amp;lang=en_US&amp;offset=0&amp;query=any,contains,991000320739702656","Catalog Record")</f>
        <v/>
      </c>
      <c r="AT86">
        <f>HYPERLINK("http://www.worldcat.org/oclc/10146873","WorldCat Record")</f>
        <v/>
      </c>
      <c r="AU86" t="inlineStr">
        <is>
          <t>3654107:eng</t>
        </is>
      </c>
      <c r="AV86" t="inlineStr">
        <is>
          <t>10146873</t>
        </is>
      </c>
      <c r="AW86" t="inlineStr">
        <is>
          <t>991000320739702656</t>
        </is>
      </c>
      <c r="AX86" t="inlineStr">
        <is>
          <t>991000320739702656</t>
        </is>
      </c>
      <c r="AY86" t="inlineStr">
        <is>
          <t>2255668040002656</t>
        </is>
      </c>
      <c r="AZ86" t="inlineStr">
        <is>
          <t>BOOK</t>
        </is>
      </c>
      <c r="BB86" t="inlineStr">
        <is>
          <t>9780205081004</t>
        </is>
      </c>
      <c r="BC86" t="inlineStr">
        <is>
          <t>32285001180404</t>
        </is>
      </c>
      <c r="BD86" t="inlineStr">
        <is>
          <t>893589345</t>
        </is>
      </c>
    </row>
    <row r="87">
      <c r="A87" t="inlineStr">
        <is>
          <t>No</t>
        </is>
      </c>
      <c r="B87" t="inlineStr">
        <is>
          <t>HV1568 .H55 2004</t>
        </is>
      </c>
      <c r="C87" t="inlineStr">
        <is>
          <t>0                      HV 1568000H  55          2004</t>
        </is>
      </c>
      <c r="D87" t="inlineStr">
        <is>
          <t>One person at a time : citizen advocacy for people with disabilities / by Adam (A.J.) Hildebrand.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Hildebrand, Adam.</t>
        </is>
      </c>
      <c r="L87" t="inlineStr">
        <is>
          <t>Newton, MA : Brookline Books, c2004.</t>
        </is>
      </c>
      <c r="M87" t="inlineStr">
        <is>
          <t>2004</t>
        </is>
      </c>
      <c r="N87" t="inlineStr">
        <is>
          <t>1st ed.</t>
        </is>
      </c>
      <c r="O87" t="inlineStr">
        <is>
          <t>eng</t>
        </is>
      </c>
      <c r="P87" t="inlineStr">
        <is>
          <t>mau</t>
        </is>
      </c>
      <c r="R87" t="inlineStr">
        <is>
          <t xml:space="preserve">HV </t>
        </is>
      </c>
      <c r="S87" t="n">
        <v>3</v>
      </c>
      <c r="T87" t="n">
        <v>3</v>
      </c>
      <c r="U87" t="inlineStr">
        <is>
          <t>2009-05-22</t>
        </is>
      </c>
      <c r="V87" t="inlineStr">
        <is>
          <t>2009-05-22</t>
        </is>
      </c>
      <c r="W87" t="inlineStr">
        <is>
          <t>2004-04-20</t>
        </is>
      </c>
      <c r="X87" t="inlineStr">
        <is>
          <t>2004-04-20</t>
        </is>
      </c>
      <c r="Y87" t="n">
        <v>75</v>
      </c>
      <c r="Z87" t="n">
        <v>63</v>
      </c>
      <c r="AA87" t="n">
        <v>63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  <c r="AG87" t="n">
        <v>1</v>
      </c>
      <c r="AH87" t="n">
        <v>0</v>
      </c>
      <c r="AI87" t="n">
        <v>0</v>
      </c>
      <c r="AJ87" t="n">
        <v>1</v>
      </c>
      <c r="AK87" t="n">
        <v>1</v>
      </c>
      <c r="AL87" t="n">
        <v>0</v>
      </c>
      <c r="AM87" t="n">
        <v>0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HYPERLINK("https://creighton-primo.hosted.exlibrisgroup.com/primo-explore/search?tab=default_tab&amp;search_scope=EVERYTHING&amp;vid=01CRU&amp;lang=en_US&amp;offset=0&amp;query=any,contains,991004245809702656","Catalog Record")</f>
        <v/>
      </c>
      <c r="AT87">
        <f>HYPERLINK("http://www.worldcat.org/oclc/54006628","WorldCat Record")</f>
        <v/>
      </c>
      <c r="AU87" t="inlineStr">
        <is>
          <t>1217557829:eng</t>
        </is>
      </c>
      <c r="AV87" t="inlineStr">
        <is>
          <t>54006628</t>
        </is>
      </c>
      <c r="AW87" t="inlineStr">
        <is>
          <t>991004245809702656</t>
        </is>
      </c>
      <c r="AX87" t="inlineStr">
        <is>
          <t>991004245809702656</t>
        </is>
      </c>
      <c r="AY87" t="inlineStr">
        <is>
          <t>2271515950002656</t>
        </is>
      </c>
      <c r="AZ87" t="inlineStr">
        <is>
          <t>BOOK</t>
        </is>
      </c>
      <c r="BB87" t="inlineStr">
        <is>
          <t>9781571290939</t>
        </is>
      </c>
      <c r="BC87" t="inlineStr">
        <is>
          <t>32285004900063</t>
        </is>
      </c>
      <c r="BD87" t="inlineStr">
        <is>
          <t>893593454</t>
        </is>
      </c>
    </row>
    <row r="88">
      <c r="A88" t="inlineStr">
        <is>
          <t>No</t>
        </is>
      </c>
      <c r="B88" t="inlineStr">
        <is>
          <t>HV1568 .S38 1997</t>
        </is>
      </c>
      <c r="C88" t="inlineStr">
        <is>
          <t>0                      HV 1568000S  38          1997</t>
        </is>
      </c>
      <c r="D88" t="inlineStr">
        <is>
          <t>Who cares? : rediscovering community / David B. Schwartz.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Schwartz, David B., 1948-</t>
        </is>
      </c>
      <c r="L88" t="inlineStr">
        <is>
          <t>Boulder : WestviewPress, 1997.</t>
        </is>
      </c>
      <c r="M88" t="inlineStr">
        <is>
          <t>1997</t>
        </is>
      </c>
      <c r="O88" t="inlineStr">
        <is>
          <t>eng</t>
        </is>
      </c>
      <c r="P88" t="inlineStr">
        <is>
          <t>cou</t>
        </is>
      </c>
      <c r="R88" t="inlineStr">
        <is>
          <t xml:space="preserve">HV </t>
        </is>
      </c>
      <c r="S88" t="n">
        <v>10</v>
      </c>
      <c r="T88" t="n">
        <v>10</v>
      </c>
      <c r="U88" t="inlineStr">
        <is>
          <t>2006-12-18</t>
        </is>
      </c>
      <c r="V88" t="inlineStr">
        <is>
          <t>2006-12-18</t>
        </is>
      </c>
      <c r="W88" t="inlineStr">
        <is>
          <t>1998-08-31</t>
        </is>
      </c>
      <c r="X88" t="inlineStr">
        <is>
          <t>1998-08-31</t>
        </is>
      </c>
      <c r="Y88" t="n">
        <v>369</v>
      </c>
      <c r="Z88" t="n">
        <v>298</v>
      </c>
      <c r="AA88" t="n">
        <v>354</v>
      </c>
      <c r="AB88" t="n">
        <v>4</v>
      </c>
      <c r="AC88" t="n">
        <v>4</v>
      </c>
      <c r="AD88" t="n">
        <v>18</v>
      </c>
      <c r="AE88" t="n">
        <v>18</v>
      </c>
      <c r="AF88" t="n">
        <v>6</v>
      </c>
      <c r="AG88" t="n">
        <v>6</v>
      </c>
      <c r="AH88" t="n">
        <v>5</v>
      </c>
      <c r="AI88" t="n">
        <v>5</v>
      </c>
      <c r="AJ88" t="n">
        <v>8</v>
      </c>
      <c r="AK88" t="n">
        <v>8</v>
      </c>
      <c r="AL88" t="n">
        <v>3</v>
      </c>
      <c r="AM88" t="n">
        <v>3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HYPERLINK("http://catalog.hathitrust.org/Record/003133742","HathiTrust Record")</f>
        <v/>
      </c>
      <c r="AS88">
        <f>HYPERLINK("https://creighton-primo.hosted.exlibrisgroup.com/primo-explore/search?tab=default_tab&amp;search_scope=EVERYTHING&amp;vid=01CRU&amp;lang=en_US&amp;offset=0&amp;query=any,contains,991005424529702656","Catalog Record")</f>
        <v/>
      </c>
      <c r="AT88">
        <f>HYPERLINK("http://www.worldcat.org/oclc/35198743","WorldCat Record")</f>
        <v/>
      </c>
      <c r="AU88" t="inlineStr">
        <is>
          <t>801240706:eng</t>
        </is>
      </c>
      <c r="AV88" t="inlineStr">
        <is>
          <t>35198743</t>
        </is>
      </c>
      <c r="AW88" t="inlineStr">
        <is>
          <t>991005424529702656</t>
        </is>
      </c>
      <c r="AX88" t="inlineStr">
        <is>
          <t>991005424529702656</t>
        </is>
      </c>
      <c r="AY88" t="inlineStr">
        <is>
          <t>2260428640002656</t>
        </is>
      </c>
      <c r="AZ88" t="inlineStr">
        <is>
          <t>BOOK</t>
        </is>
      </c>
      <c r="BB88" t="inlineStr">
        <is>
          <t>9780813332079</t>
        </is>
      </c>
      <c r="BC88" t="inlineStr">
        <is>
          <t>32285003463592</t>
        </is>
      </c>
      <c r="BD88" t="inlineStr">
        <is>
          <t>893502014</t>
        </is>
      </c>
    </row>
    <row r="89">
      <c r="A89" t="inlineStr">
        <is>
          <t>No</t>
        </is>
      </c>
      <c r="B89" t="inlineStr">
        <is>
          <t>HV1568.5 .T7 1989</t>
        </is>
      </c>
      <c r="C89" t="inlineStr">
        <is>
          <t>0                      HV 1568500T  7           1989</t>
        </is>
      </c>
      <c r="D89" t="inlineStr">
        <is>
          <t>Transition from school to work for persons with disabilities / [edited by] Dianne E. Berkell, James M. Brown.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White Plains, N.Y. : Longman, 1989.</t>
        </is>
      </c>
      <c r="M89" t="inlineStr">
        <is>
          <t>1988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HV </t>
        </is>
      </c>
      <c r="S89" t="n">
        <v>1</v>
      </c>
      <c r="T89" t="n">
        <v>1</v>
      </c>
      <c r="U89" t="inlineStr">
        <is>
          <t>2001-04-16</t>
        </is>
      </c>
      <c r="V89" t="inlineStr">
        <is>
          <t>2001-04-16</t>
        </is>
      </c>
      <c r="W89" t="inlineStr">
        <is>
          <t>1992-06-24</t>
        </is>
      </c>
      <c r="X89" t="inlineStr">
        <is>
          <t>1992-06-24</t>
        </is>
      </c>
      <c r="Y89" t="n">
        <v>262</v>
      </c>
      <c r="Z89" t="n">
        <v>233</v>
      </c>
      <c r="AA89" t="n">
        <v>235</v>
      </c>
      <c r="AB89" t="n">
        <v>4</v>
      </c>
      <c r="AC89" t="n">
        <v>4</v>
      </c>
      <c r="AD89" t="n">
        <v>12</v>
      </c>
      <c r="AE89" t="n">
        <v>12</v>
      </c>
      <c r="AF89" t="n">
        <v>1</v>
      </c>
      <c r="AG89" t="n">
        <v>1</v>
      </c>
      <c r="AH89" t="n">
        <v>5</v>
      </c>
      <c r="AI89" t="n">
        <v>5</v>
      </c>
      <c r="AJ89" t="n">
        <v>6</v>
      </c>
      <c r="AK89" t="n">
        <v>6</v>
      </c>
      <c r="AL89" t="n">
        <v>3</v>
      </c>
      <c r="AM89" t="n">
        <v>3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HYPERLINK("http://catalog.hathitrust.org/Record/001078979","HathiTrust Record")</f>
        <v/>
      </c>
      <c r="AS89">
        <f>HYPERLINK("https://creighton-primo.hosted.exlibrisgroup.com/primo-explore/search?tab=default_tab&amp;search_scope=EVERYTHING&amp;vid=01CRU&amp;lang=en_US&amp;offset=0&amp;query=any,contains,991001289719702656","Catalog Record")</f>
        <v/>
      </c>
      <c r="AT89">
        <f>HYPERLINK("http://www.worldcat.org/oclc/17982770","WorldCat Record")</f>
        <v/>
      </c>
      <c r="AU89" t="inlineStr">
        <is>
          <t>452355954:eng</t>
        </is>
      </c>
      <c r="AV89" t="inlineStr">
        <is>
          <t>17982770</t>
        </is>
      </c>
      <c r="AW89" t="inlineStr">
        <is>
          <t>991001289719702656</t>
        </is>
      </c>
      <c r="AX89" t="inlineStr">
        <is>
          <t>991001289719702656</t>
        </is>
      </c>
      <c r="AY89" t="inlineStr">
        <is>
          <t>2259198760002656</t>
        </is>
      </c>
      <c r="AZ89" t="inlineStr">
        <is>
          <t>BOOK</t>
        </is>
      </c>
      <c r="BB89" t="inlineStr">
        <is>
          <t>9780801302282</t>
        </is>
      </c>
      <c r="BC89" t="inlineStr">
        <is>
          <t>32285001180438</t>
        </is>
      </c>
      <c r="BD89" t="inlineStr">
        <is>
          <t>893522469</t>
        </is>
      </c>
    </row>
    <row r="90">
      <c r="A90" t="inlineStr">
        <is>
          <t>No</t>
        </is>
      </c>
      <c r="B90" t="inlineStr">
        <is>
          <t>HV1569.3.W65 H55 1993</t>
        </is>
      </c>
      <c r="C90" t="inlineStr">
        <is>
          <t>0                      HV 1569300W  65                 H  55          1993</t>
        </is>
      </c>
      <c r="D90" t="inlineStr">
        <is>
          <t>Feminism and disability / by Barbara Hillyer.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Hillyer, Barbara, 1934-</t>
        </is>
      </c>
      <c r="L90" t="inlineStr">
        <is>
          <t>Norman, Okla. : University of Oklahoma Press, c1993.</t>
        </is>
      </c>
      <c r="M90" t="inlineStr">
        <is>
          <t>1993</t>
        </is>
      </c>
      <c r="O90" t="inlineStr">
        <is>
          <t>eng</t>
        </is>
      </c>
      <c r="P90" t="inlineStr">
        <is>
          <t>oku</t>
        </is>
      </c>
      <c r="R90" t="inlineStr">
        <is>
          <t xml:space="preserve">HV </t>
        </is>
      </c>
      <c r="S90" t="n">
        <v>7</v>
      </c>
      <c r="T90" t="n">
        <v>7</v>
      </c>
      <c r="U90" t="inlineStr">
        <is>
          <t>2008-04-07</t>
        </is>
      </c>
      <c r="V90" t="inlineStr">
        <is>
          <t>2008-04-07</t>
        </is>
      </c>
      <c r="W90" t="inlineStr">
        <is>
          <t>1993-12-10</t>
        </is>
      </c>
      <c r="X90" t="inlineStr">
        <is>
          <t>1993-12-10</t>
        </is>
      </c>
      <c r="Y90" t="n">
        <v>619</v>
      </c>
      <c r="Z90" t="n">
        <v>535</v>
      </c>
      <c r="AA90" t="n">
        <v>1266</v>
      </c>
      <c r="AB90" t="n">
        <v>4</v>
      </c>
      <c r="AC90" t="n">
        <v>6</v>
      </c>
      <c r="AD90" t="n">
        <v>24</v>
      </c>
      <c r="AE90" t="n">
        <v>34</v>
      </c>
      <c r="AF90" t="n">
        <v>6</v>
      </c>
      <c r="AG90" t="n">
        <v>13</v>
      </c>
      <c r="AH90" t="n">
        <v>7</v>
      </c>
      <c r="AI90" t="n">
        <v>8</v>
      </c>
      <c r="AJ90" t="n">
        <v>13</v>
      </c>
      <c r="AK90" t="n">
        <v>16</v>
      </c>
      <c r="AL90" t="n">
        <v>3</v>
      </c>
      <c r="AM90" t="n">
        <v>4</v>
      </c>
      <c r="AN90" t="n">
        <v>1</v>
      </c>
      <c r="AO90" t="n">
        <v>1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HYPERLINK("https://creighton-primo.hosted.exlibrisgroup.com/primo-explore/search?tab=default_tab&amp;search_scope=EVERYTHING&amp;vid=01CRU&amp;lang=en_US&amp;offset=0&amp;query=any,contains,991002116859702656","Catalog Record")</f>
        <v/>
      </c>
      <c r="AT90">
        <f>HYPERLINK("http://www.worldcat.org/oclc/27143769","WorldCat Record")</f>
        <v/>
      </c>
      <c r="AU90" t="inlineStr">
        <is>
          <t>352623:eng</t>
        </is>
      </c>
      <c r="AV90" t="inlineStr">
        <is>
          <t>27143769</t>
        </is>
      </c>
      <c r="AW90" t="inlineStr">
        <is>
          <t>991002116859702656</t>
        </is>
      </c>
      <c r="AX90" t="inlineStr">
        <is>
          <t>991002116859702656</t>
        </is>
      </c>
      <c r="AY90" t="inlineStr">
        <is>
          <t>2271793620002656</t>
        </is>
      </c>
      <c r="AZ90" t="inlineStr">
        <is>
          <t>BOOK</t>
        </is>
      </c>
      <c r="BB90" t="inlineStr">
        <is>
          <t>9780806125008</t>
        </is>
      </c>
      <c r="BC90" t="inlineStr">
        <is>
          <t>32285001814721</t>
        </is>
      </c>
      <c r="BD90" t="inlineStr">
        <is>
          <t>893328709</t>
        </is>
      </c>
    </row>
    <row r="91">
      <c r="A91" t="inlineStr">
        <is>
          <t>No</t>
        </is>
      </c>
      <c r="B91" t="inlineStr">
        <is>
          <t>HV1569.5 .P253 2000</t>
        </is>
      </c>
      <c r="C91" t="inlineStr">
        <is>
          <t>0                      HV 1569500P  253         2000</t>
        </is>
      </c>
      <c r="D91" t="inlineStr">
        <is>
          <t>Web accessibility for people with disabilities / Michael G. Paciello.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Paciello, Michael G., 1959-</t>
        </is>
      </c>
      <c r="L91" t="inlineStr">
        <is>
          <t>Lawrence, Kan. : CMP Books ; Berkeley, CA : Distributed in the U.S. and Canada by Publishers Group West, c2000.</t>
        </is>
      </c>
      <c r="M91" t="inlineStr">
        <is>
          <t>2000</t>
        </is>
      </c>
      <c r="O91" t="inlineStr">
        <is>
          <t>eng</t>
        </is>
      </c>
      <c r="P91" t="inlineStr">
        <is>
          <t>ksu</t>
        </is>
      </c>
      <c r="R91" t="inlineStr">
        <is>
          <t xml:space="preserve">HV </t>
        </is>
      </c>
      <c r="S91" t="n">
        <v>4</v>
      </c>
      <c r="T91" t="n">
        <v>4</v>
      </c>
      <c r="U91" t="inlineStr">
        <is>
          <t>2003-04-08</t>
        </is>
      </c>
      <c r="V91" t="inlineStr">
        <is>
          <t>2003-04-08</t>
        </is>
      </c>
      <c r="W91" t="inlineStr">
        <is>
          <t>2001-11-26</t>
        </is>
      </c>
      <c r="X91" t="inlineStr">
        <is>
          <t>2001-11-26</t>
        </is>
      </c>
      <c r="Y91" t="n">
        <v>514</v>
      </c>
      <c r="Z91" t="n">
        <v>431</v>
      </c>
      <c r="AA91" t="n">
        <v>491</v>
      </c>
      <c r="AB91" t="n">
        <v>1</v>
      </c>
      <c r="AC91" t="n">
        <v>1</v>
      </c>
      <c r="AD91" t="n">
        <v>11</v>
      </c>
      <c r="AE91" t="n">
        <v>13</v>
      </c>
      <c r="AF91" t="n">
        <v>4</v>
      </c>
      <c r="AG91" t="n">
        <v>4</v>
      </c>
      <c r="AH91" t="n">
        <v>2</v>
      </c>
      <c r="AI91" t="n">
        <v>2</v>
      </c>
      <c r="AJ91" t="n">
        <v>4</v>
      </c>
      <c r="AK91" t="n">
        <v>6</v>
      </c>
      <c r="AL91" t="n">
        <v>0</v>
      </c>
      <c r="AM91" t="n">
        <v>0</v>
      </c>
      <c r="AN91" t="n">
        <v>2</v>
      </c>
      <c r="AO91" t="n">
        <v>2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HYPERLINK("https://creighton-primo.hosted.exlibrisgroup.com/primo-explore/search?tab=default_tab&amp;search_scope=EVERYTHING&amp;vid=01CRU&amp;lang=en_US&amp;offset=0&amp;query=any,contains,991003663439702656","Catalog Record")</f>
        <v/>
      </c>
      <c r="AT91">
        <f>HYPERLINK("http://www.worldcat.org/oclc/45281213","WorldCat Record")</f>
        <v/>
      </c>
      <c r="AU91" t="inlineStr">
        <is>
          <t>59080:eng</t>
        </is>
      </c>
      <c r="AV91" t="inlineStr">
        <is>
          <t>45281213</t>
        </is>
      </c>
      <c r="AW91" t="inlineStr">
        <is>
          <t>991003663439702656</t>
        </is>
      </c>
      <c r="AX91" t="inlineStr">
        <is>
          <t>991003663439702656</t>
        </is>
      </c>
      <c r="AY91" t="inlineStr">
        <is>
          <t>2269101770002656</t>
        </is>
      </c>
      <c r="AZ91" t="inlineStr">
        <is>
          <t>BOOK</t>
        </is>
      </c>
      <c r="BB91" t="inlineStr">
        <is>
          <t>9781929629084</t>
        </is>
      </c>
      <c r="BC91" t="inlineStr">
        <is>
          <t>32285004413356</t>
        </is>
      </c>
      <c r="BD91" t="inlineStr">
        <is>
          <t>893531447</t>
        </is>
      </c>
    </row>
    <row r="92">
      <c r="A92" t="inlineStr">
        <is>
          <t>No</t>
        </is>
      </c>
      <c r="B92" t="inlineStr">
        <is>
          <t>HV1577 .Z3 1963</t>
        </is>
      </c>
      <c r="C92" t="inlineStr">
        <is>
          <t>0                      HV 1577000Z  3           1963</t>
        </is>
      </c>
      <c r="D92" t="inlineStr">
        <is>
          <t>Blindness : modern approaches to the unseen environment.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Zahl, Paul A. (Paul Arthur), 1910-1985.</t>
        </is>
      </c>
      <c r="L92" t="inlineStr">
        <is>
          <t>New York : Hafner Pub. Co., 1962 [i.e. 1963, c1950]</t>
        </is>
      </c>
      <c r="M92" t="inlineStr">
        <is>
          <t>1963</t>
        </is>
      </c>
      <c r="N92" t="inlineStr">
        <is>
          <t>[Reprint ed. / with new bibliography]</t>
        </is>
      </c>
      <c r="O92" t="inlineStr">
        <is>
          <t>eng</t>
        </is>
      </c>
      <c r="P92" t="inlineStr">
        <is>
          <t xml:space="preserve">xx </t>
        </is>
      </c>
      <c r="R92" t="inlineStr">
        <is>
          <t xml:space="preserve">HV </t>
        </is>
      </c>
      <c r="S92" t="n">
        <v>6</v>
      </c>
      <c r="T92" t="n">
        <v>6</v>
      </c>
      <c r="U92" t="inlineStr">
        <is>
          <t>2000-03-20</t>
        </is>
      </c>
      <c r="V92" t="inlineStr">
        <is>
          <t>2000-03-20</t>
        </is>
      </c>
      <c r="W92" t="inlineStr">
        <is>
          <t>1993-12-14</t>
        </is>
      </c>
      <c r="X92" t="inlineStr">
        <is>
          <t>1993-12-14</t>
        </is>
      </c>
      <c r="Y92" t="n">
        <v>140</v>
      </c>
      <c r="Z92" t="n">
        <v>119</v>
      </c>
      <c r="AA92" t="n">
        <v>300</v>
      </c>
      <c r="AB92" t="n">
        <v>2</v>
      </c>
      <c r="AC92" t="n">
        <v>3</v>
      </c>
      <c r="AD92" t="n">
        <v>4</v>
      </c>
      <c r="AE92" t="n">
        <v>11</v>
      </c>
      <c r="AF92" t="n">
        <v>2</v>
      </c>
      <c r="AG92" t="n">
        <v>4</v>
      </c>
      <c r="AH92" t="n">
        <v>0</v>
      </c>
      <c r="AI92" t="n">
        <v>1</v>
      </c>
      <c r="AJ92" t="n">
        <v>1</v>
      </c>
      <c r="AK92" t="n">
        <v>5</v>
      </c>
      <c r="AL92" t="n">
        <v>1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HYPERLINK("http://catalog.hathitrust.org/Record/009669298","HathiTrust Record")</f>
        <v/>
      </c>
      <c r="AS92">
        <f>HYPERLINK("https://creighton-primo.hosted.exlibrisgroup.com/primo-explore/search?tab=default_tab&amp;search_scope=EVERYTHING&amp;vid=01CRU&amp;lang=en_US&amp;offset=0&amp;query=any,contains,991002859769702656","Catalog Record")</f>
        <v/>
      </c>
      <c r="AT92">
        <f>HYPERLINK("http://www.worldcat.org/oclc/492190","WorldCat Record")</f>
        <v/>
      </c>
      <c r="AU92" t="inlineStr">
        <is>
          <t>5728963:eng</t>
        </is>
      </c>
      <c r="AV92" t="inlineStr">
        <is>
          <t>492190</t>
        </is>
      </c>
      <c r="AW92" t="inlineStr">
        <is>
          <t>991002859769702656</t>
        </is>
      </c>
      <c r="AX92" t="inlineStr">
        <is>
          <t>991002859769702656</t>
        </is>
      </c>
      <c r="AY92" t="inlineStr">
        <is>
          <t>2255202650002656</t>
        </is>
      </c>
      <c r="AZ92" t="inlineStr">
        <is>
          <t>BOOK</t>
        </is>
      </c>
      <c r="BC92" t="inlineStr">
        <is>
          <t>32285001808590</t>
        </is>
      </c>
      <c r="BD92" t="inlineStr">
        <is>
          <t>893257809</t>
        </is>
      </c>
    </row>
    <row r="93">
      <c r="A93" t="inlineStr">
        <is>
          <t>No</t>
        </is>
      </c>
      <c r="B93" t="inlineStr">
        <is>
          <t>HV1597.2 .U53</t>
        </is>
      </c>
      <c r="C93" t="inlineStr">
        <is>
          <t>0                      HV 1597200U  53</t>
        </is>
      </c>
      <c r="D93" t="inlineStr">
        <is>
          <t>Understanding and educating the deaf-blind, severely and profoundly handicapped : an international perspective / edited by Sara R. Walsh and Robert Holzberg.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Springfield, Ill. : Thomas, c1981.</t>
        </is>
      </c>
      <c r="M93" t="inlineStr">
        <is>
          <t>1981</t>
        </is>
      </c>
      <c r="O93" t="inlineStr">
        <is>
          <t>eng</t>
        </is>
      </c>
      <c r="P93" t="inlineStr">
        <is>
          <t>ilu</t>
        </is>
      </c>
      <c r="R93" t="inlineStr">
        <is>
          <t xml:space="preserve">HV </t>
        </is>
      </c>
      <c r="S93" t="n">
        <v>7</v>
      </c>
      <c r="T93" t="n">
        <v>7</v>
      </c>
      <c r="U93" t="inlineStr">
        <is>
          <t>1997-05-30</t>
        </is>
      </c>
      <c r="V93" t="inlineStr">
        <is>
          <t>1997-05-30</t>
        </is>
      </c>
      <c r="W93" t="inlineStr">
        <is>
          <t>1992-02-27</t>
        </is>
      </c>
      <c r="X93" t="inlineStr">
        <is>
          <t>1992-02-27</t>
        </is>
      </c>
      <c r="Y93" t="n">
        <v>233</v>
      </c>
      <c r="Z93" t="n">
        <v>187</v>
      </c>
      <c r="AA93" t="n">
        <v>188</v>
      </c>
      <c r="AB93" t="n">
        <v>3</v>
      </c>
      <c r="AC93" t="n">
        <v>3</v>
      </c>
      <c r="AD93" t="n">
        <v>6</v>
      </c>
      <c r="AE93" t="n">
        <v>6</v>
      </c>
      <c r="AF93" t="n">
        <v>0</v>
      </c>
      <c r="AG93" t="n">
        <v>0</v>
      </c>
      <c r="AH93" t="n">
        <v>2</v>
      </c>
      <c r="AI93" t="n">
        <v>2</v>
      </c>
      <c r="AJ93" t="n">
        <v>3</v>
      </c>
      <c r="AK93" t="n">
        <v>3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HYPERLINK("http://catalog.hathitrust.org/Record/101908673","HathiTrust Record")</f>
        <v/>
      </c>
      <c r="AS93">
        <f>HYPERLINK("https://creighton-primo.hosted.exlibrisgroup.com/primo-explore/search?tab=default_tab&amp;search_scope=EVERYTHING&amp;vid=01CRU&amp;lang=en_US&amp;offset=0&amp;query=any,contains,991005115769702656","Catalog Record")</f>
        <v/>
      </c>
      <c r="AT93">
        <f>HYPERLINK("http://www.worldcat.org/oclc/7462187","WorldCat Record")</f>
        <v/>
      </c>
      <c r="AU93" t="inlineStr">
        <is>
          <t>815074438:eng</t>
        </is>
      </c>
      <c r="AV93" t="inlineStr">
        <is>
          <t>7462187</t>
        </is>
      </c>
      <c r="AW93" t="inlineStr">
        <is>
          <t>991005115769702656</t>
        </is>
      </c>
      <c r="AX93" t="inlineStr">
        <is>
          <t>991005115769702656</t>
        </is>
      </c>
      <c r="AY93" t="inlineStr">
        <is>
          <t>2262644830002656</t>
        </is>
      </c>
      <c r="AZ93" t="inlineStr">
        <is>
          <t>BOOK</t>
        </is>
      </c>
      <c r="BB93" t="inlineStr">
        <is>
          <t>9780398045142</t>
        </is>
      </c>
      <c r="BC93" t="inlineStr">
        <is>
          <t>32285000978899</t>
        </is>
      </c>
      <c r="BD93" t="inlineStr">
        <is>
          <t>893895908</t>
        </is>
      </c>
    </row>
    <row r="94">
      <c r="A94" t="inlineStr">
        <is>
          <t>No</t>
        </is>
      </c>
      <c r="B94" t="inlineStr">
        <is>
          <t>HV1598 .B37</t>
        </is>
      </c>
      <c r="C94" t="inlineStr">
        <is>
          <t>0                      HV 1598000B  37</t>
        </is>
      </c>
      <c r="D94" t="inlineStr">
        <is>
          <t>Adjustment to blindness--re-viewed / by Mary K. Bauman and Norman M. Yoder. With a foreword by Berthold Lowenfeld.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Bauman, Mary K. (Mary Kinsey), 1910-</t>
        </is>
      </c>
      <c r="L94" t="inlineStr">
        <is>
          <t>Springfield, Ill., Thomas [1966]</t>
        </is>
      </c>
      <c r="M94" t="inlineStr">
        <is>
          <t>1966</t>
        </is>
      </c>
      <c r="O94" t="inlineStr">
        <is>
          <t>eng</t>
        </is>
      </c>
      <c r="P94" t="inlineStr">
        <is>
          <t>ilu</t>
        </is>
      </c>
      <c r="R94" t="inlineStr">
        <is>
          <t xml:space="preserve">HV </t>
        </is>
      </c>
      <c r="S94" t="n">
        <v>6</v>
      </c>
      <c r="T94" t="n">
        <v>6</v>
      </c>
      <c r="U94" t="inlineStr">
        <is>
          <t>2000-03-11</t>
        </is>
      </c>
      <c r="V94" t="inlineStr">
        <is>
          <t>2000-03-11</t>
        </is>
      </c>
      <c r="W94" t="inlineStr">
        <is>
          <t>1993-04-23</t>
        </is>
      </c>
      <c r="X94" t="inlineStr">
        <is>
          <t>1993-04-23</t>
        </is>
      </c>
      <c r="Y94" t="n">
        <v>225</v>
      </c>
      <c r="Z94" t="n">
        <v>202</v>
      </c>
      <c r="AA94" t="n">
        <v>204</v>
      </c>
      <c r="AB94" t="n">
        <v>1</v>
      </c>
      <c r="AC94" t="n">
        <v>1</v>
      </c>
      <c r="AD94" t="n">
        <v>9</v>
      </c>
      <c r="AE94" t="n">
        <v>9</v>
      </c>
      <c r="AF94" t="n">
        <v>3</v>
      </c>
      <c r="AG94" t="n">
        <v>3</v>
      </c>
      <c r="AH94" t="n">
        <v>2</v>
      </c>
      <c r="AI94" t="n">
        <v>2</v>
      </c>
      <c r="AJ94" t="n">
        <v>5</v>
      </c>
      <c r="AK94" t="n">
        <v>5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HYPERLINK("http://catalog.hathitrust.org/Record/001132993","HathiTrust Record")</f>
        <v/>
      </c>
      <c r="AS94">
        <f>HYPERLINK("https://creighton-primo.hosted.exlibrisgroup.com/primo-explore/search?tab=default_tab&amp;search_scope=EVERYTHING&amp;vid=01CRU&amp;lang=en_US&amp;offset=0&amp;query=any,contains,991002072539702656","Catalog Record")</f>
        <v/>
      </c>
      <c r="AT94">
        <f>HYPERLINK("http://www.worldcat.org/oclc/263627","WorldCat Record")</f>
        <v/>
      </c>
      <c r="AU94" t="inlineStr">
        <is>
          <t>3769358880:eng</t>
        </is>
      </c>
      <c r="AV94" t="inlineStr">
        <is>
          <t>263627</t>
        </is>
      </c>
      <c r="AW94" t="inlineStr">
        <is>
          <t>991002072539702656</t>
        </is>
      </c>
      <c r="AX94" t="inlineStr">
        <is>
          <t>991002072539702656</t>
        </is>
      </c>
      <c r="AY94" t="inlineStr">
        <is>
          <t>2268704790002656</t>
        </is>
      </c>
      <c r="AZ94" t="inlineStr">
        <is>
          <t>BOOK</t>
        </is>
      </c>
      <c r="BC94" t="inlineStr">
        <is>
          <t>32285001624039</t>
        </is>
      </c>
      <c r="BD94" t="inlineStr">
        <is>
          <t>893684922</t>
        </is>
      </c>
    </row>
    <row r="95">
      <c r="A95" t="inlineStr">
        <is>
          <t>No</t>
        </is>
      </c>
      <c r="B95" t="inlineStr">
        <is>
          <t>HV16 .W58 1998</t>
        </is>
      </c>
      <c r="C95" t="inlineStr">
        <is>
          <t>0                      HV 0016000W  58          1998</t>
        </is>
      </c>
      <c r="D95" t="inlineStr">
        <is>
          <t>With us always : a history of private charity and public welfare / edited by Donald T. Critchlow and Charles H. Parker.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Lanham, MD : Rowman &amp; Littlefield, c1998.</t>
        </is>
      </c>
      <c r="M95" t="inlineStr">
        <is>
          <t>1998</t>
        </is>
      </c>
      <c r="O95" t="inlineStr">
        <is>
          <t>eng</t>
        </is>
      </c>
      <c r="P95" t="inlineStr">
        <is>
          <t>mdu</t>
        </is>
      </c>
      <c r="R95" t="inlineStr">
        <is>
          <t xml:space="preserve">HV </t>
        </is>
      </c>
      <c r="S95" t="n">
        <v>2</v>
      </c>
      <c r="T95" t="n">
        <v>2</v>
      </c>
      <c r="U95" t="inlineStr">
        <is>
          <t>2006-12-08</t>
        </is>
      </c>
      <c r="V95" t="inlineStr">
        <is>
          <t>2006-12-08</t>
        </is>
      </c>
      <c r="W95" t="inlineStr">
        <is>
          <t>1999-12-07</t>
        </is>
      </c>
      <c r="X95" t="inlineStr">
        <is>
          <t>1999-12-07</t>
        </is>
      </c>
      <c r="Y95" t="n">
        <v>275</v>
      </c>
      <c r="Z95" t="n">
        <v>229</v>
      </c>
      <c r="AA95" t="n">
        <v>252</v>
      </c>
      <c r="AB95" t="n">
        <v>3</v>
      </c>
      <c r="AC95" t="n">
        <v>3</v>
      </c>
      <c r="AD95" t="n">
        <v>13</v>
      </c>
      <c r="AE95" t="n">
        <v>14</v>
      </c>
      <c r="AF95" t="n">
        <v>4</v>
      </c>
      <c r="AG95" t="n">
        <v>5</v>
      </c>
      <c r="AH95" t="n">
        <v>4</v>
      </c>
      <c r="AI95" t="n">
        <v>5</v>
      </c>
      <c r="AJ95" t="n">
        <v>9</v>
      </c>
      <c r="AK95" t="n">
        <v>9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HYPERLINK("http://catalog.hathitrust.org/Record/003977198","HathiTrust Record")</f>
        <v/>
      </c>
      <c r="AS95">
        <f>HYPERLINK("https://creighton-primo.hosted.exlibrisgroup.com/primo-explore/search?tab=default_tab&amp;search_scope=EVERYTHING&amp;vid=01CRU&amp;lang=en_US&amp;offset=0&amp;query=any,contains,991002860109702656","Catalog Record")</f>
        <v/>
      </c>
      <c r="AT95">
        <f>HYPERLINK("http://www.worldcat.org/oclc/37695146","WorldCat Record")</f>
        <v/>
      </c>
      <c r="AU95" t="inlineStr">
        <is>
          <t>837006906:eng</t>
        </is>
      </c>
      <c r="AV95" t="inlineStr">
        <is>
          <t>37695146</t>
        </is>
      </c>
      <c r="AW95" t="inlineStr">
        <is>
          <t>991002860109702656</t>
        </is>
      </c>
      <c r="AX95" t="inlineStr">
        <is>
          <t>991002860109702656</t>
        </is>
      </c>
      <c r="AY95" t="inlineStr">
        <is>
          <t>2269087720002656</t>
        </is>
      </c>
      <c r="AZ95" t="inlineStr">
        <is>
          <t>BOOK</t>
        </is>
      </c>
      <c r="BB95" t="inlineStr">
        <is>
          <t>9780847689699</t>
        </is>
      </c>
      <c r="BC95" t="inlineStr">
        <is>
          <t>32285003628855</t>
        </is>
      </c>
      <c r="BD95" t="inlineStr">
        <is>
          <t>893780328</t>
        </is>
      </c>
    </row>
    <row r="96">
      <c r="A96" t="inlineStr">
        <is>
          <t>No</t>
        </is>
      </c>
      <c r="B96" t="inlineStr">
        <is>
          <t>HV1631 .S38</t>
        </is>
      </c>
      <c r="C96" t="inlineStr">
        <is>
          <t>0                      HV 1631000S  38</t>
        </is>
      </c>
      <c r="D96" t="inlineStr">
        <is>
          <t>Your visually impaired student : a guide for teachers / Eileen P. Scott.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Scott, Eileen P.</t>
        </is>
      </c>
      <c r="L96" t="inlineStr">
        <is>
          <t>Baltimore : University Park Press, c1982.</t>
        </is>
      </c>
      <c r="M96" t="inlineStr">
        <is>
          <t>1982</t>
        </is>
      </c>
      <c r="O96" t="inlineStr">
        <is>
          <t>eng</t>
        </is>
      </c>
      <c r="P96" t="inlineStr">
        <is>
          <t>mdu</t>
        </is>
      </c>
      <c r="R96" t="inlineStr">
        <is>
          <t xml:space="preserve">HV </t>
        </is>
      </c>
      <c r="S96" t="n">
        <v>17</v>
      </c>
      <c r="T96" t="n">
        <v>17</v>
      </c>
      <c r="U96" t="inlineStr">
        <is>
          <t>2000-03-29</t>
        </is>
      </c>
      <c r="V96" t="inlineStr">
        <is>
          <t>2000-03-29</t>
        </is>
      </c>
      <c r="W96" t="inlineStr">
        <is>
          <t>1992-04-08</t>
        </is>
      </c>
      <c r="X96" t="inlineStr">
        <is>
          <t>1992-04-08</t>
        </is>
      </c>
      <c r="Y96" t="n">
        <v>303</v>
      </c>
      <c r="Z96" t="n">
        <v>251</v>
      </c>
      <c r="AA96" t="n">
        <v>252</v>
      </c>
      <c r="AB96" t="n">
        <v>3</v>
      </c>
      <c r="AC96" t="n">
        <v>3</v>
      </c>
      <c r="AD96" t="n">
        <v>6</v>
      </c>
      <c r="AE96" t="n">
        <v>6</v>
      </c>
      <c r="AF96" t="n">
        <v>3</v>
      </c>
      <c r="AG96" t="n">
        <v>3</v>
      </c>
      <c r="AH96" t="n">
        <v>0</v>
      </c>
      <c r="AI96" t="n">
        <v>0</v>
      </c>
      <c r="AJ96" t="n">
        <v>3</v>
      </c>
      <c r="AK96" t="n">
        <v>3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HYPERLINK("https://creighton-primo.hosted.exlibrisgroup.com/primo-explore/search?tab=default_tab&amp;search_scope=EVERYTHING&amp;vid=01CRU&amp;lang=en_US&amp;offset=0&amp;query=any,contains,991005164119702656","Catalog Record")</f>
        <v/>
      </c>
      <c r="AT96">
        <f>HYPERLINK("http://www.worldcat.org/oclc/7813054","WorldCat Record")</f>
        <v/>
      </c>
      <c r="AU96" t="inlineStr">
        <is>
          <t>504242:eng</t>
        </is>
      </c>
      <c r="AV96" t="inlineStr">
        <is>
          <t>7813054</t>
        </is>
      </c>
      <c r="AW96" t="inlineStr">
        <is>
          <t>991005164119702656</t>
        </is>
      </c>
      <c r="AX96" t="inlineStr">
        <is>
          <t>991005164119702656</t>
        </is>
      </c>
      <c r="AY96" t="inlineStr">
        <is>
          <t>2255694540002656</t>
        </is>
      </c>
      <c r="AZ96" t="inlineStr">
        <is>
          <t>BOOK</t>
        </is>
      </c>
      <c r="BB96" t="inlineStr">
        <is>
          <t>9780839117032</t>
        </is>
      </c>
      <c r="BC96" t="inlineStr">
        <is>
          <t>32285001056422</t>
        </is>
      </c>
      <c r="BD96" t="inlineStr">
        <is>
          <t>893437275</t>
        </is>
      </c>
    </row>
    <row r="97">
      <c r="A97" t="inlineStr">
        <is>
          <t>No</t>
        </is>
      </c>
      <c r="B97" t="inlineStr">
        <is>
          <t>HV1632 .M3</t>
        </is>
      </c>
      <c r="C97" t="inlineStr">
        <is>
          <t>0                      HV 1632000M  3</t>
        </is>
      </c>
      <c r="D97" t="inlineStr">
        <is>
          <t>Supporting visually impaired students in the mainstream / Glenda J. Martin, Mollie Hoben.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Martin, Glenda J.</t>
        </is>
      </c>
      <c r="L97" t="inlineStr">
        <is>
          <t>Reston, Virginia : The Council for Exceptional Children, 1977.</t>
        </is>
      </c>
      <c r="M97" t="inlineStr">
        <is>
          <t>1977</t>
        </is>
      </c>
      <c r="O97" t="inlineStr">
        <is>
          <t>eng</t>
        </is>
      </c>
      <c r="P97" t="inlineStr">
        <is>
          <t>vau</t>
        </is>
      </c>
      <c r="R97" t="inlineStr">
        <is>
          <t xml:space="preserve">HV </t>
        </is>
      </c>
      <c r="S97" t="n">
        <v>8</v>
      </c>
      <c r="T97" t="n">
        <v>8</v>
      </c>
      <c r="U97" t="inlineStr">
        <is>
          <t>2000-03-29</t>
        </is>
      </c>
      <c r="V97" t="inlineStr">
        <is>
          <t>2000-03-29</t>
        </is>
      </c>
      <c r="W97" t="inlineStr">
        <is>
          <t>1993-11-11</t>
        </is>
      </c>
      <c r="X97" t="inlineStr">
        <is>
          <t>1993-11-11</t>
        </is>
      </c>
      <c r="Y97" t="n">
        <v>214</v>
      </c>
      <c r="Z97" t="n">
        <v>192</v>
      </c>
      <c r="AA97" t="n">
        <v>202</v>
      </c>
      <c r="AB97" t="n">
        <v>2</v>
      </c>
      <c r="AC97" t="n">
        <v>2</v>
      </c>
      <c r="AD97" t="n">
        <v>7</v>
      </c>
      <c r="AE97" t="n">
        <v>7</v>
      </c>
      <c r="AF97" t="n">
        <v>3</v>
      </c>
      <c r="AG97" t="n">
        <v>3</v>
      </c>
      <c r="AH97" t="n">
        <v>0</v>
      </c>
      <c r="AI97" t="n">
        <v>0</v>
      </c>
      <c r="AJ97" t="n">
        <v>4</v>
      </c>
      <c r="AK97" t="n">
        <v>4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Yes</t>
        </is>
      </c>
      <c r="AQ97" t="inlineStr">
        <is>
          <t>No</t>
        </is>
      </c>
      <c r="AR97">
        <f>HYPERLINK("http://catalog.hathitrust.org/Record/100805720","HathiTrust Record")</f>
        <v/>
      </c>
      <c r="AS97">
        <f>HYPERLINK("https://creighton-primo.hosted.exlibrisgroup.com/primo-explore/search?tab=default_tab&amp;search_scope=EVERYTHING&amp;vid=01CRU&amp;lang=en_US&amp;offset=0&amp;query=any,contains,991004468179702656","Catalog Record")</f>
        <v/>
      </c>
      <c r="AT97">
        <f>HYPERLINK("http://www.worldcat.org/oclc/3582292","WorldCat Record")</f>
        <v/>
      </c>
      <c r="AU97" t="inlineStr">
        <is>
          <t>582050:eng</t>
        </is>
      </c>
      <c r="AV97" t="inlineStr">
        <is>
          <t>3582292</t>
        </is>
      </c>
      <c r="AW97" t="inlineStr">
        <is>
          <t>991004468179702656</t>
        </is>
      </c>
      <c r="AX97" t="inlineStr">
        <is>
          <t>991004468179702656</t>
        </is>
      </c>
      <c r="AY97" t="inlineStr">
        <is>
          <t>2263449140002656</t>
        </is>
      </c>
      <c r="AZ97" t="inlineStr">
        <is>
          <t>BOOK</t>
        </is>
      </c>
      <c r="BC97" t="inlineStr">
        <is>
          <t>32285001798197</t>
        </is>
      </c>
      <c r="BD97" t="inlineStr">
        <is>
          <t>893247611</t>
        </is>
      </c>
    </row>
    <row r="98">
      <c r="A98" t="inlineStr">
        <is>
          <t>No</t>
        </is>
      </c>
      <c r="B98" t="inlineStr">
        <is>
          <t>HV1664.S4 H33</t>
        </is>
      </c>
      <c r="C98" t="inlineStr">
        <is>
          <t>0                      HV 1664000S  4                  H  33</t>
        </is>
      </c>
      <c r="D98" t="inlineStr">
        <is>
          <t>Laboratory science and art for blind, deaf, and emotionally disturbed children : a mainstreaming approach / Doris E. Hadary and Susan Hadary Cohen. --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Hadary, Doris E.</t>
        </is>
      </c>
      <c r="L98" t="inlineStr">
        <is>
          <t>Baltimore : University Park Press, [1978]</t>
        </is>
      </c>
      <c r="M98" t="inlineStr">
        <is>
          <t>1978</t>
        </is>
      </c>
      <c r="O98" t="inlineStr">
        <is>
          <t>eng</t>
        </is>
      </c>
      <c r="P98" t="inlineStr">
        <is>
          <t>mdu</t>
        </is>
      </c>
      <c r="R98" t="inlineStr">
        <is>
          <t xml:space="preserve">HV </t>
        </is>
      </c>
      <c r="S98" t="n">
        <v>9</v>
      </c>
      <c r="T98" t="n">
        <v>9</v>
      </c>
      <c r="U98" t="inlineStr">
        <is>
          <t>2000-03-20</t>
        </is>
      </c>
      <c r="V98" t="inlineStr">
        <is>
          <t>2000-03-20</t>
        </is>
      </c>
      <c r="W98" t="inlineStr">
        <is>
          <t>1992-06-24</t>
        </is>
      </c>
      <c r="X98" t="inlineStr">
        <is>
          <t>1992-06-24</t>
        </is>
      </c>
      <c r="Y98" t="n">
        <v>385</v>
      </c>
      <c r="Z98" t="n">
        <v>322</v>
      </c>
      <c r="AA98" t="n">
        <v>328</v>
      </c>
      <c r="AB98" t="n">
        <v>3</v>
      </c>
      <c r="AC98" t="n">
        <v>3</v>
      </c>
      <c r="AD98" t="n">
        <v>12</v>
      </c>
      <c r="AE98" t="n">
        <v>12</v>
      </c>
      <c r="AF98" t="n">
        <v>6</v>
      </c>
      <c r="AG98" t="n">
        <v>6</v>
      </c>
      <c r="AH98" t="n">
        <v>1</v>
      </c>
      <c r="AI98" t="n">
        <v>1</v>
      </c>
      <c r="AJ98" t="n">
        <v>5</v>
      </c>
      <c r="AK98" t="n">
        <v>5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HYPERLINK("http://catalog.hathitrust.org/Record/000093421","HathiTrust Record")</f>
        <v/>
      </c>
      <c r="AS98">
        <f>HYPERLINK("https://creighton-primo.hosted.exlibrisgroup.com/primo-explore/search?tab=default_tab&amp;search_scope=EVERYTHING&amp;vid=01CRU&amp;lang=en_US&amp;offset=0&amp;query=any,contains,991004492059702656","Catalog Record")</f>
        <v/>
      </c>
      <c r="AT98">
        <f>HYPERLINK("http://www.worldcat.org/oclc/3669339","WorldCat Record")</f>
        <v/>
      </c>
      <c r="AU98" t="inlineStr">
        <is>
          <t>292649370:eng</t>
        </is>
      </c>
      <c r="AV98" t="inlineStr">
        <is>
          <t>3669339</t>
        </is>
      </c>
      <c r="AW98" t="inlineStr">
        <is>
          <t>991004492059702656</t>
        </is>
      </c>
      <c r="AX98" t="inlineStr">
        <is>
          <t>991004492059702656</t>
        </is>
      </c>
      <c r="AY98" t="inlineStr">
        <is>
          <t>2262103920002656</t>
        </is>
      </c>
      <c r="AZ98" t="inlineStr">
        <is>
          <t>BOOK</t>
        </is>
      </c>
      <c r="BB98" t="inlineStr">
        <is>
          <t>9780839112303</t>
        </is>
      </c>
      <c r="BC98" t="inlineStr">
        <is>
          <t>32285001180479</t>
        </is>
      </c>
      <c r="BD98" t="inlineStr">
        <is>
          <t>893235565</t>
        </is>
      </c>
    </row>
    <row r="99">
      <c r="A99" t="inlineStr">
        <is>
          <t>No</t>
        </is>
      </c>
      <c r="B99" t="inlineStr">
        <is>
          <t>HV1792.K88 A3 1998</t>
        </is>
      </c>
      <c r="C99" t="inlineStr">
        <is>
          <t>0                      HV 1792000K  88                 A  3           1998</t>
        </is>
      </c>
      <c r="D99" t="inlineStr">
        <is>
          <t>Planet of the blind / Stephen Kuusisto.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Kuusisto, Stephen.</t>
        </is>
      </c>
      <c r="L99" t="inlineStr">
        <is>
          <t>New York : Dial Press, 1998.</t>
        </is>
      </c>
      <c r="M99" t="inlineStr">
        <is>
          <t>1998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HV </t>
        </is>
      </c>
      <c r="S99" t="n">
        <v>4</v>
      </c>
      <c r="T99" t="n">
        <v>4</v>
      </c>
      <c r="U99" t="inlineStr">
        <is>
          <t>2008-02-29</t>
        </is>
      </c>
      <c r="V99" t="inlineStr">
        <is>
          <t>2008-02-29</t>
        </is>
      </c>
      <c r="W99" t="inlineStr">
        <is>
          <t>1998-01-21</t>
        </is>
      </c>
      <c r="X99" t="inlineStr">
        <is>
          <t>1998-01-21</t>
        </is>
      </c>
      <c r="Y99" t="n">
        <v>694</v>
      </c>
      <c r="Z99" t="n">
        <v>656</v>
      </c>
      <c r="AA99" t="n">
        <v>891</v>
      </c>
      <c r="AB99" t="n">
        <v>8</v>
      </c>
      <c r="AC99" t="n">
        <v>8</v>
      </c>
      <c r="AD99" t="n">
        <v>13</v>
      </c>
      <c r="AE99" t="n">
        <v>21</v>
      </c>
      <c r="AF99" t="n">
        <v>2</v>
      </c>
      <c r="AG99" t="n">
        <v>9</v>
      </c>
      <c r="AH99" t="n">
        <v>3</v>
      </c>
      <c r="AI99" t="n">
        <v>3</v>
      </c>
      <c r="AJ99" t="n">
        <v>7</v>
      </c>
      <c r="AK99" t="n">
        <v>11</v>
      </c>
      <c r="AL99" t="n">
        <v>3</v>
      </c>
      <c r="AM99" t="n">
        <v>3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HYPERLINK("http://catalog.hathitrust.org/Record/003968710","HathiTrust Record")</f>
        <v/>
      </c>
      <c r="AS99">
        <f>HYPERLINK("https://creighton-primo.hosted.exlibrisgroup.com/primo-explore/search?tab=default_tab&amp;search_scope=EVERYTHING&amp;vid=01CRU&amp;lang=en_US&amp;offset=0&amp;query=any,contains,991002851079702656","Catalog Record")</f>
        <v/>
      </c>
      <c r="AT99">
        <f>HYPERLINK("http://www.worldcat.org/oclc/37567302","WorldCat Record")</f>
        <v/>
      </c>
      <c r="AU99" t="inlineStr">
        <is>
          <t>535262:eng</t>
        </is>
      </c>
      <c r="AV99" t="inlineStr">
        <is>
          <t>37567302</t>
        </is>
      </c>
      <c r="AW99" t="inlineStr">
        <is>
          <t>991002851079702656</t>
        </is>
      </c>
      <c r="AX99" t="inlineStr">
        <is>
          <t>991002851079702656</t>
        </is>
      </c>
      <c r="AY99" t="inlineStr">
        <is>
          <t>2267543210002656</t>
        </is>
      </c>
      <c r="AZ99" t="inlineStr">
        <is>
          <t>BOOK</t>
        </is>
      </c>
      <c r="BB99" t="inlineStr">
        <is>
          <t>9780385316156</t>
        </is>
      </c>
      <c r="BC99" t="inlineStr">
        <is>
          <t>32285003304283</t>
        </is>
      </c>
      <c r="BD99" t="inlineStr">
        <is>
          <t>893341940</t>
        </is>
      </c>
    </row>
    <row r="100">
      <c r="A100" t="inlineStr">
        <is>
          <t>No</t>
        </is>
      </c>
      <c r="B100" t="inlineStr">
        <is>
          <t>HV2353 .L4 no.4</t>
        </is>
      </c>
      <c r="C100" t="inlineStr">
        <is>
          <t>0                      HV 2353000L  4                                                       no.4</t>
        </is>
      </c>
      <c r="D100" t="inlineStr">
        <is>
          <t>Teaching reading to deaf children / with a foreword by Clarence D. O'Connor.</t>
        </is>
      </c>
      <c r="E100" t="inlineStr">
        <is>
          <t>no.4*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Hart, Beatrice Ostern.</t>
        </is>
      </c>
      <c r="L100" t="inlineStr">
        <is>
          <t>Washington : Alexander Graham Bell Association for the Deaf, [1963]</t>
        </is>
      </c>
      <c r="M100" t="inlineStr">
        <is>
          <t>1963</t>
        </is>
      </c>
      <c r="O100" t="inlineStr">
        <is>
          <t>eng</t>
        </is>
      </c>
      <c r="P100" t="inlineStr">
        <is>
          <t xml:space="preserve">xx </t>
        </is>
      </c>
      <c r="Q100" t="inlineStr">
        <is>
          <t>The Lexington School for the Deaf education series, book 4</t>
        </is>
      </c>
      <c r="R100" t="inlineStr">
        <is>
          <t xml:space="preserve">HV </t>
        </is>
      </c>
      <c r="S100" t="n">
        <v>1</v>
      </c>
      <c r="T100" t="n">
        <v>1</v>
      </c>
      <c r="U100" t="inlineStr">
        <is>
          <t>2007-03-14</t>
        </is>
      </c>
      <c r="V100" t="inlineStr">
        <is>
          <t>2007-03-14</t>
        </is>
      </c>
      <c r="W100" t="inlineStr">
        <is>
          <t>1993-05-05</t>
        </is>
      </c>
      <c r="X100" t="inlineStr">
        <is>
          <t>1993-05-05</t>
        </is>
      </c>
      <c r="Y100" t="n">
        <v>217</v>
      </c>
      <c r="Z100" t="n">
        <v>201</v>
      </c>
      <c r="AA100" t="n">
        <v>417</v>
      </c>
      <c r="AB100" t="n">
        <v>3</v>
      </c>
      <c r="AC100" t="n">
        <v>4</v>
      </c>
      <c r="AD100" t="n">
        <v>8</v>
      </c>
      <c r="AE100" t="n">
        <v>15</v>
      </c>
      <c r="AF100" t="n">
        <v>3</v>
      </c>
      <c r="AG100" t="n">
        <v>6</v>
      </c>
      <c r="AH100" t="n">
        <v>3</v>
      </c>
      <c r="AI100" t="n">
        <v>5</v>
      </c>
      <c r="AJ100" t="n">
        <v>1</v>
      </c>
      <c r="AK100" t="n">
        <v>4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HYPERLINK("https://creighton-primo.hosted.exlibrisgroup.com/primo-explore/search?tab=default_tab&amp;search_scope=EVERYTHING&amp;vid=01CRU&amp;lang=en_US&amp;offset=0&amp;query=any,contains,991002894849702656","Catalog Record")</f>
        <v/>
      </c>
      <c r="AT100">
        <f>HYPERLINK("http://www.worldcat.org/oclc/513664","WorldCat Record")</f>
        <v/>
      </c>
      <c r="AU100" t="inlineStr">
        <is>
          <t>540882:eng</t>
        </is>
      </c>
      <c r="AV100" t="inlineStr">
        <is>
          <t>513664</t>
        </is>
      </c>
      <c r="AW100" t="inlineStr">
        <is>
          <t>991002894849702656</t>
        </is>
      </c>
      <c r="AX100" t="inlineStr">
        <is>
          <t>991002894849702656</t>
        </is>
      </c>
      <c r="AY100" t="inlineStr">
        <is>
          <t>2262479100002656</t>
        </is>
      </c>
      <c r="AZ100" t="inlineStr">
        <is>
          <t>BOOK</t>
        </is>
      </c>
      <c r="BC100" t="inlineStr">
        <is>
          <t>32285001633923</t>
        </is>
      </c>
      <c r="BD100" t="inlineStr">
        <is>
          <t>893893138</t>
        </is>
      </c>
    </row>
    <row r="101">
      <c r="A101" t="inlineStr">
        <is>
          <t>No</t>
        </is>
      </c>
      <c r="B101" t="inlineStr">
        <is>
          <t>HV238 .G56 2001</t>
        </is>
      </c>
      <c r="C101" t="inlineStr">
        <is>
          <t>0                      HV 0238000G  56          2001</t>
        </is>
      </c>
      <c r="D101" t="inlineStr">
        <is>
          <t>Globalization and European welfare states : challenges and change / edited by Robert Sykes, Bruno Palier, and Pauline M. Prior ; consultant editor, Jo Campling.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New York : Palgrave, 2001.</t>
        </is>
      </c>
      <c r="M101" t="inlineStr">
        <is>
          <t>2001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HV </t>
        </is>
      </c>
      <c r="S101" t="n">
        <v>7</v>
      </c>
      <c r="T101" t="n">
        <v>7</v>
      </c>
      <c r="U101" t="inlineStr">
        <is>
          <t>2006-11-16</t>
        </is>
      </c>
      <c r="V101" t="inlineStr">
        <is>
          <t>2006-11-16</t>
        </is>
      </c>
      <c r="W101" t="inlineStr">
        <is>
          <t>2002-04-15</t>
        </is>
      </c>
      <c r="X101" t="inlineStr">
        <is>
          <t>2002-04-15</t>
        </is>
      </c>
      <c r="Y101" t="n">
        <v>286</v>
      </c>
      <c r="Z101" t="n">
        <v>185</v>
      </c>
      <c r="AA101" t="n">
        <v>213</v>
      </c>
      <c r="AB101" t="n">
        <v>1</v>
      </c>
      <c r="AC101" t="n">
        <v>1</v>
      </c>
      <c r="AD101" t="n">
        <v>12</v>
      </c>
      <c r="AE101" t="n">
        <v>12</v>
      </c>
      <c r="AF101" t="n">
        <v>5</v>
      </c>
      <c r="AG101" t="n">
        <v>5</v>
      </c>
      <c r="AH101" t="n">
        <v>4</v>
      </c>
      <c r="AI101" t="n">
        <v>4</v>
      </c>
      <c r="AJ101" t="n">
        <v>8</v>
      </c>
      <c r="AK101" t="n">
        <v>8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HYPERLINK("https://creighton-primo.hosted.exlibrisgroup.com/primo-explore/search?tab=default_tab&amp;search_scope=EVERYTHING&amp;vid=01CRU&amp;lang=en_US&amp;offset=0&amp;query=any,contains,991003760489702656","Catalog Record")</f>
        <v/>
      </c>
      <c r="AT101">
        <f>HYPERLINK("http://www.worldcat.org/oclc/45087426","WorldCat Record")</f>
        <v/>
      </c>
      <c r="AU101" t="inlineStr">
        <is>
          <t>837072524:eng</t>
        </is>
      </c>
      <c r="AV101" t="inlineStr">
        <is>
          <t>45087426</t>
        </is>
      </c>
      <c r="AW101" t="inlineStr">
        <is>
          <t>991003760489702656</t>
        </is>
      </c>
      <c r="AX101" t="inlineStr">
        <is>
          <t>991003760489702656</t>
        </is>
      </c>
      <c r="AY101" t="inlineStr">
        <is>
          <t>2266569940002656</t>
        </is>
      </c>
      <c r="AZ101" t="inlineStr">
        <is>
          <t>BOOK</t>
        </is>
      </c>
      <c r="BB101" t="inlineStr">
        <is>
          <t>9780333790182</t>
        </is>
      </c>
      <c r="BC101" t="inlineStr">
        <is>
          <t>32285004479589</t>
        </is>
      </c>
      <c r="BD101" t="inlineStr">
        <is>
          <t>893711751</t>
        </is>
      </c>
    </row>
    <row r="102">
      <c r="A102" t="inlineStr">
        <is>
          <t>No</t>
        </is>
      </c>
      <c r="B102" t="inlineStr">
        <is>
          <t>HV2380 .D428 2009</t>
        </is>
      </c>
      <c r="C102" t="inlineStr">
        <is>
          <t>0                      HV 2380000D  428         2009</t>
        </is>
      </c>
      <c r="D102" t="inlineStr">
        <is>
          <t>Deaf people around the world : educational and social perspectives / Donald F. Moores and Margery S. Miller, editors.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Washington, D.C. : Gallaudet University Press, 2009.</t>
        </is>
      </c>
      <c r="M102" t="inlineStr">
        <is>
          <t>2009</t>
        </is>
      </c>
      <c r="O102" t="inlineStr">
        <is>
          <t>eng</t>
        </is>
      </c>
      <c r="P102" t="inlineStr">
        <is>
          <t>dcu</t>
        </is>
      </c>
      <c r="R102" t="inlineStr">
        <is>
          <t xml:space="preserve">HV </t>
        </is>
      </c>
      <c r="S102" t="n">
        <v>1</v>
      </c>
      <c r="T102" t="n">
        <v>1</v>
      </c>
      <c r="U102" t="inlineStr">
        <is>
          <t>2010-04-26</t>
        </is>
      </c>
      <c r="V102" t="inlineStr">
        <is>
          <t>2010-04-26</t>
        </is>
      </c>
      <c r="W102" t="inlineStr">
        <is>
          <t>2010-04-26</t>
        </is>
      </c>
      <c r="X102" t="inlineStr">
        <is>
          <t>2010-04-26</t>
        </is>
      </c>
      <c r="Y102" t="n">
        <v>335</v>
      </c>
      <c r="Z102" t="n">
        <v>285</v>
      </c>
      <c r="AA102" t="n">
        <v>324</v>
      </c>
      <c r="AB102" t="n">
        <v>4</v>
      </c>
      <c r="AC102" t="n">
        <v>4</v>
      </c>
      <c r="AD102" t="n">
        <v>8</v>
      </c>
      <c r="AE102" t="n">
        <v>8</v>
      </c>
      <c r="AF102" t="n">
        <v>0</v>
      </c>
      <c r="AG102" t="n">
        <v>0</v>
      </c>
      <c r="AH102" t="n">
        <v>1</v>
      </c>
      <c r="AI102" t="n">
        <v>1</v>
      </c>
      <c r="AJ102" t="n">
        <v>5</v>
      </c>
      <c r="AK102" t="n">
        <v>5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HYPERLINK("https://creighton-primo.hosted.exlibrisgroup.com/primo-explore/search?tab=default_tab&amp;search_scope=EVERYTHING&amp;vid=01CRU&amp;lang=en_US&amp;offset=0&amp;query=any,contains,991005388509702656","Catalog Record")</f>
        <v/>
      </c>
      <c r="AT102">
        <f>HYPERLINK("http://www.worldcat.org/oclc/262892122","WorldCat Record")</f>
        <v/>
      </c>
      <c r="AU102" t="inlineStr">
        <is>
          <t>478712516:eng</t>
        </is>
      </c>
      <c r="AV102" t="inlineStr">
        <is>
          <t>262892122</t>
        </is>
      </c>
      <c r="AW102" t="inlineStr">
        <is>
          <t>991005388509702656</t>
        </is>
      </c>
      <c r="AX102" t="inlineStr">
        <is>
          <t>991005388509702656</t>
        </is>
      </c>
      <c r="AY102" t="inlineStr">
        <is>
          <t>2269471570002656</t>
        </is>
      </c>
      <c r="AZ102" t="inlineStr">
        <is>
          <t>BOOK</t>
        </is>
      </c>
      <c r="BB102" t="inlineStr">
        <is>
          <t>9781563684104</t>
        </is>
      </c>
      <c r="BC102" t="inlineStr">
        <is>
          <t>32285005567564</t>
        </is>
      </c>
      <c r="BD102" t="inlineStr">
        <is>
          <t>893695258</t>
        </is>
      </c>
    </row>
    <row r="103">
      <c r="A103" t="inlineStr">
        <is>
          <t>No</t>
        </is>
      </c>
      <c r="B103" t="inlineStr">
        <is>
          <t>HV2380 .G73 1976</t>
        </is>
      </c>
      <c r="C103" t="inlineStr">
        <is>
          <t>0                      HV 2380000G  73          1976</t>
        </is>
      </c>
      <c r="D103" t="inlineStr">
        <is>
          <t>The deaf child and his family / by Susan Gregory.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Gregory, Susan, 1945-</t>
        </is>
      </c>
      <c r="L103" t="inlineStr">
        <is>
          <t>New York : Wiley, 1976.</t>
        </is>
      </c>
      <c r="M103" t="inlineStr">
        <is>
          <t>1976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HV </t>
        </is>
      </c>
      <c r="S103" t="n">
        <v>3</v>
      </c>
      <c r="T103" t="n">
        <v>3</v>
      </c>
      <c r="U103" t="inlineStr">
        <is>
          <t>2002-04-07</t>
        </is>
      </c>
      <c r="V103" t="inlineStr">
        <is>
          <t>2002-04-07</t>
        </is>
      </c>
      <c r="W103" t="inlineStr">
        <is>
          <t>1997-08-22</t>
        </is>
      </c>
      <c r="X103" t="inlineStr">
        <is>
          <t>1997-08-22</t>
        </is>
      </c>
      <c r="Y103" t="n">
        <v>267</v>
      </c>
      <c r="Z103" t="n">
        <v>242</v>
      </c>
      <c r="AA103" t="n">
        <v>262</v>
      </c>
      <c r="AB103" t="n">
        <v>2</v>
      </c>
      <c r="AC103" t="n">
        <v>2</v>
      </c>
      <c r="AD103" t="n">
        <v>8</v>
      </c>
      <c r="AE103" t="n">
        <v>9</v>
      </c>
      <c r="AF103" t="n">
        <v>4</v>
      </c>
      <c r="AG103" t="n">
        <v>4</v>
      </c>
      <c r="AH103" t="n">
        <v>1</v>
      </c>
      <c r="AI103" t="n">
        <v>1</v>
      </c>
      <c r="AJ103" t="n">
        <v>3</v>
      </c>
      <c r="AK103" t="n">
        <v>4</v>
      </c>
      <c r="AL103" t="n">
        <v>1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HYPERLINK("https://creighton-primo.hosted.exlibrisgroup.com/primo-explore/search?tab=default_tab&amp;search_scope=EVERYTHING&amp;vid=01CRU&amp;lang=en_US&amp;offset=0&amp;query=any,contains,991004112219702656","Catalog Record")</f>
        <v/>
      </c>
      <c r="AT103">
        <f>HYPERLINK("http://www.worldcat.org/oclc/2401404","WorldCat Record")</f>
        <v/>
      </c>
      <c r="AU103" t="inlineStr">
        <is>
          <t>2487676770:eng</t>
        </is>
      </c>
      <c r="AV103" t="inlineStr">
        <is>
          <t>2401404</t>
        </is>
      </c>
      <c r="AW103" t="inlineStr">
        <is>
          <t>991004112219702656</t>
        </is>
      </c>
      <c r="AX103" t="inlineStr">
        <is>
          <t>991004112219702656</t>
        </is>
      </c>
      <c r="AY103" t="inlineStr">
        <is>
          <t>2266404890002656</t>
        </is>
      </c>
      <c r="AZ103" t="inlineStr">
        <is>
          <t>BOOK</t>
        </is>
      </c>
      <c r="BB103" t="inlineStr">
        <is>
          <t>9780470326626</t>
        </is>
      </c>
      <c r="BC103" t="inlineStr">
        <is>
          <t>32285003156980</t>
        </is>
      </c>
      <c r="BD103" t="inlineStr">
        <is>
          <t>893423397</t>
        </is>
      </c>
    </row>
    <row r="104">
      <c r="A104" t="inlineStr">
        <is>
          <t>No</t>
        </is>
      </c>
      <c r="B104" t="inlineStr">
        <is>
          <t>HV2380 .M4</t>
        </is>
      </c>
      <c r="C104" t="inlineStr">
        <is>
          <t>0                      HV 2380000M  4</t>
        </is>
      </c>
      <c r="D104" t="inlineStr">
        <is>
          <t>Deafness and child development / Kathryn P. Meadow.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Meadow-Orlans, Kathryn P.</t>
        </is>
      </c>
      <c r="L104" t="inlineStr">
        <is>
          <t>Berkeley : University of California Press, c1980.</t>
        </is>
      </c>
      <c r="M104" t="inlineStr">
        <is>
          <t>1980</t>
        </is>
      </c>
      <c r="O104" t="inlineStr">
        <is>
          <t>eng</t>
        </is>
      </c>
      <c r="P104" t="inlineStr">
        <is>
          <t>cau</t>
        </is>
      </c>
      <c r="R104" t="inlineStr">
        <is>
          <t xml:space="preserve">HV </t>
        </is>
      </c>
      <c r="S104" t="n">
        <v>9</v>
      </c>
      <c r="T104" t="n">
        <v>9</v>
      </c>
      <c r="U104" t="inlineStr">
        <is>
          <t>2001-04-10</t>
        </is>
      </c>
      <c r="V104" t="inlineStr">
        <is>
          <t>2001-04-10</t>
        </is>
      </c>
      <c r="W104" t="inlineStr">
        <is>
          <t>1992-05-06</t>
        </is>
      </c>
      <c r="X104" t="inlineStr">
        <is>
          <t>1992-05-06</t>
        </is>
      </c>
      <c r="Y104" t="n">
        <v>624</v>
      </c>
      <c r="Z104" t="n">
        <v>533</v>
      </c>
      <c r="AA104" t="n">
        <v>534</v>
      </c>
      <c r="AB104" t="n">
        <v>3</v>
      </c>
      <c r="AC104" t="n">
        <v>3</v>
      </c>
      <c r="AD104" t="n">
        <v>13</v>
      </c>
      <c r="AE104" t="n">
        <v>13</v>
      </c>
      <c r="AF104" t="n">
        <v>2</v>
      </c>
      <c r="AG104" t="n">
        <v>2</v>
      </c>
      <c r="AH104" t="n">
        <v>4</v>
      </c>
      <c r="AI104" t="n">
        <v>4</v>
      </c>
      <c r="AJ104" t="n">
        <v>9</v>
      </c>
      <c r="AK104" t="n">
        <v>9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HYPERLINK("https://creighton-primo.hosted.exlibrisgroup.com/primo-explore/search?tab=default_tab&amp;search_scope=EVERYTHING&amp;vid=01CRU&amp;lang=en_US&amp;offset=0&amp;query=any,contains,991004909929702656","Catalog Record")</f>
        <v/>
      </c>
      <c r="AT104">
        <f>HYPERLINK("http://www.worldcat.org/oclc/5989450","WorldCat Record")</f>
        <v/>
      </c>
      <c r="AU104" t="inlineStr">
        <is>
          <t>501046:eng</t>
        </is>
      </c>
      <c r="AV104" t="inlineStr">
        <is>
          <t>5989450</t>
        </is>
      </c>
      <c r="AW104" t="inlineStr">
        <is>
          <t>991004909929702656</t>
        </is>
      </c>
      <c r="AX104" t="inlineStr">
        <is>
          <t>991004909929702656</t>
        </is>
      </c>
      <c r="AY104" t="inlineStr">
        <is>
          <t>2268371110002656</t>
        </is>
      </c>
      <c r="AZ104" t="inlineStr">
        <is>
          <t>BOOK</t>
        </is>
      </c>
      <c r="BB104" t="inlineStr">
        <is>
          <t>9780520028197</t>
        </is>
      </c>
      <c r="BC104" t="inlineStr">
        <is>
          <t>32285001120624</t>
        </is>
      </c>
      <c r="BD104" t="inlineStr">
        <is>
          <t>893722658</t>
        </is>
      </c>
    </row>
    <row r="105">
      <c r="A105" t="inlineStr">
        <is>
          <t>No</t>
        </is>
      </c>
      <c r="B105" t="inlineStr">
        <is>
          <t>HV2380 .P77 1993</t>
        </is>
      </c>
      <c r="C105" t="inlineStr">
        <is>
          <t>0                      HV 2380000P  77          1993</t>
        </is>
      </c>
      <c r="D105" t="inlineStr">
        <is>
          <t>Psychological perspectives on deafness / edited by Marc Marschark, M. Diane Clark.</t>
        </is>
      </c>
      <c r="E105" t="inlineStr">
        <is>
          <t>V.2</t>
        </is>
      </c>
      <c r="F105" t="inlineStr">
        <is>
          <t>Yes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Hillsdale, N.J. : L. Erlbaum, 1993-1998.</t>
        </is>
      </c>
      <c r="M105" t="inlineStr">
        <is>
          <t>1993</t>
        </is>
      </c>
      <c r="O105" t="inlineStr">
        <is>
          <t>eng</t>
        </is>
      </c>
      <c r="P105" t="inlineStr">
        <is>
          <t>nju</t>
        </is>
      </c>
      <c r="R105" t="inlineStr">
        <is>
          <t xml:space="preserve">HV </t>
        </is>
      </c>
      <c r="S105" t="n">
        <v>11</v>
      </c>
      <c r="T105" t="n">
        <v>11</v>
      </c>
      <c r="U105" t="inlineStr">
        <is>
          <t>2006-06-28</t>
        </is>
      </c>
      <c r="V105" t="inlineStr">
        <is>
          <t>2006-06-28</t>
        </is>
      </c>
      <c r="W105" t="inlineStr">
        <is>
          <t>1999-12-07</t>
        </is>
      </c>
      <c r="X105" t="inlineStr">
        <is>
          <t>1999-12-07</t>
        </is>
      </c>
      <c r="Y105" t="n">
        <v>299</v>
      </c>
      <c r="Z105" t="n">
        <v>265</v>
      </c>
      <c r="AA105" t="n">
        <v>823</v>
      </c>
      <c r="AB105" t="n">
        <v>2</v>
      </c>
      <c r="AC105" t="n">
        <v>2</v>
      </c>
      <c r="AD105" t="n">
        <v>9</v>
      </c>
      <c r="AE105" t="n">
        <v>12</v>
      </c>
      <c r="AF105" t="n">
        <v>4</v>
      </c>
      <c r="AG105" t="n">
        <v>6</v>
      </c>
      <c r="AH105" t="n">
        <v>2</v>
      </c>
      <c r="AI105" t="n">
        <v>3</v>
      </c>
      <c r="AJ105" t="n">
        <v>5</v>
      </c>
      <c r="AK105" t="n">
        <v>6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HYPERLINK("https://creighton-primo.hosted.exlibrisgroup.com/primo-explore/search?tab=default_tab&amp;search_scope=EVERYTHING&amp;vid=01CRU&amp;lang=en_US&amp;offset=0&amp;query=any,contains,991001992199702656","Catalog Record")</f>
        <v/>
      </c>
      <c r="AT105">
        <f>HYPERLINK("http://www.worldcat.org/oclc/25315969","WorldCat Record")</f>
        <v/>
      </c>
      <c r="AU105" t="inlineStr">
        <is>
          <t>4924614264:eng</t>
        </is>
      </c>
      <c r="AV105" t="inlineStr">
        <is>
          <t>25315969</t>
        </is>
      </c>
      <c r="AW105" t="inlineStr">
        <is>
          <t>991001992199702656</t>
        </is>
      </c>
      <c r="AX105" t="inlineStr">
        <is>
          <t>991001992199702656</t>
        </is>
      </c>
      <c r="AY105" t="inlineStr">
        <is>
          <t>2268989140002656</t>
        </is>
      </c>
      <c r="AZ105" t="inlineStr">
        <is>
          <t>BOOK</t>
        </is>
      </c>
      <c r="BB105" t="inlineStr">
        <is>
          <t>9780805810547</t>
        </is>
      </c>
      <c r="BC105" t="inlineStr">
        <is>
          <t>32285003628814</t>
        </is>
      </c>
      <c r="BD105" t="inlineStr">
        <is>
          <t>893439651</t>
        </is>
      </c>
    </row>
    <row r="106">
      <c r="A106" t="inlineStr">
        <is>
          <t>No</t>
        </is>
      </c>
      <c r="B106" t="inlineStr">
        <is>
          <t>HV2380 .R36 1982</t>
        </is>
      </c>
      <c r="C106" t="inlineStr">
        <is>
          <t>0                      HV 2380000R  36          1982</t>
        </is>
      </c>
      <c r="D106" t="inlineStr">
        <is>
          <t>Conocer al niño sordo / Rafael A. Ramírez Camacho.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Ramírez Camacho, Rafael A.</t>
        </is>
      </c>
      <c r="L106" t="inlineStr">
        <is>
          <t>Madrid : Ciencias de la educación preescolar y especial, [1982?]</t>
        </is>
      </c>
      <c r="M106" t="inlineStr">
        <is>
          <t>1982</t>
        </is>
      </c>
      <c r="O106" t="inlineStr">
        <is>
          <t>spa</t>
        </is>
      </c>
      <c r="P106" t="inlineStr">
        <is>
          <t xml:space="preserve">sp </t>
        </is>
      </c>
      <c r="Q106" t="inlineStr">
        <is>
          <t>Colección Educación especial ; 9</t>
        </is>
      </c>
      <c r="R106" t="inlineStr">
        <is>
          <t xml:space="preserve">HV </t>
        </is>
      </c>
      <c r="S106" t="n">
        <v>1</v>
      </c>
      <c r="T106" t="n">
        <v>1</v>
      </c>
      <c r="U106" t="inlineStr">
        <is>
          <t>2002-08-07</t>
        </is>
      </c>
      <c r="V106" t="inlineStr">
        <is>
          <t>2002-08-07</t>
        </is>
      </c>
      <c r="W106" t="inlineStr">
        <is>
          <t>2002-07-29</t>
        </is>
      </c>
      <c r="X106" t="inlineStr">
        <is>
          <t>2002-07-29</t>
        </is>
      </c>
      <c r="Y106" t="n">
        <v>14</v>
      </c>
      <c r="Z106" t="n">
        <v>8</v>
      </c>
      <c r="AA106" t="n">
        <v>9</v>
      </c>
      <c r="AB106" t="n">
        <v>1</v>
      </c>
      <c r="AC106" t="n">
        <v>1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HYPERLINK("https://creighton-primo.hosted.exlibrisgroup.com/primo-explore/search?tab=default_tab&amp;search_scope=EVERYTHING&amp;vid=01CRU&amp;lang=en_US&amp;offset=0&amp;query=any,contains,991003848759702656","Catalog Record")</f>
        <v/>
      </c>
      <c r="AT106">
        <f>HYPERLINK("http://www.worldcat.org/oclc/24338291","WorldCat Record")</f>
        <v/>
      </c>
      <c r="AU106" t="inlineStr">
        <is>
          <t>5090736906:spa</t>
        </is>
      </c>
      <c r="AV106" t="inlineStr">
        <is>
          <t>24338291</t>
        </is>
      </c>
      <c r="AW106" t="inlineStr">
        <is>
          <t>991003848759702656</t>
        </is>
      </c>
      <c r="AX106" t="inlineStr">
        <is>
          <t>991003848759702656</t>
        </is>
      </c>
      <c r="AY106" t="inlineStr">
        <is>
          <t>2269194150002656</t>
        </is>
      </c>
      <c r="AZ106" t="inlineStr">
        <is>
          <t>BOOK</t>
        </is>
      </c>
      <c r="BB106" t="inlineStr">
        <is>
          <t>9788485252855</t>
        </is>
      </c>
      <c r="BC106" t="inlineStr">
        <is>
          <t>32285004640578</t>
        </is>
      </c>
      <c r="BD106" t="inlineStr">
        <is>
          <t>893794136</t>
        </is>
      </c>
    </row>
    <row r="107">
      <c r="A107" t="inlineStr">
        <is>
          <t>No</t>
        </is>
      </c>
      <c r="B107" t="inlineStr">
        <is>
          <t>HV2380 .W54 1971</t>
        </is>
      </c>
      <c r="C107" t="inlineStr">
        <is>
          <t>0                      HV 2380000W  54          1971</t>
        </is>
      </c>
      <c r="D107" t="inlineStr">
        <is>
          <t>The deaf child [by] Edith Whetnall and D. B. Fry.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Whetnall, Edith.</t>
        </is>
      </c>
      <c r="L107" t="inlineStr">
        <is>
          <t>London, Heinemann Medical, 1971.</t>
        </is>
      </c>
      <c r="M107" t="inlineStr">
        <is>
          <t>1971</t>
        </is>
      </c>
      <c r="N107" t="inlineStr">
        <is>
          <t>[1st ed.] Reprinted with revisions.</t>
        </is>
      </c>
      <c r="O107" t="inlineStr">
        <is>
          <t>eng</t>
        </is>
      </c>
      <c r="P107" t="inlineStr">
        <is>
          <t>enk</t>
        </is>
      </c>
      <c r="R107" t="inlineStr">
        <is>
          <t xml:space="preserve">HV </t>
        </is>
      </c>
      <c r="S107" t="n">
        <v>7</v>
      </c>
      <c r="T107" t="n">
        <v>7</v>
      </c>
      <c r="U107" t="inlineStr">
        <is>
          <t>2008-03-17</t>
        </is>
      </c>
      <c r="V107" t="inlineStr">
        <is>
          <t>2008-03-17</t>
        </is>
      </c>
      <c r="W107" t="inlineStr">
        <is>
          <t>1997-08-22</t>
        </is>
      </c>
      <c r="X107" t="inlineStr">
        <is>
          <t>1997-08-22</t>
        </is>
      </c>
      <c r="Y107" t="n">
        <v>136</v>
      </c>
      <c r="Z107" t="n">
        <v>93</v>
      </c>
      <c r="AA107" t="n">
        <v>336</v>
      </c>
      <c r="AB107" t="n">
        <v>1</v>
      </c>
      <c r="AC107" t="n">
        <v>2</v>
      </c>
      <c r="AD107" t="n">
        <v>3</v>
      </c>
      <c r="AE107" t="n">
        <v>10</v>
      </c>
      <c r="AF107" t="n">
        <v>1</v>
      </c>
      <c r="AG107" t="n">
        <v>2</v>
      </c>
      <c r="AH107" t="n">
        <v>0</v>
      </c>
      <c r="AI107" t="n">
        <v>4</v>
      </c>
      <c r="AJ107" t="n">
        <v>2</v>
      </c>
      <c r="AK107" t="n">
        <v>5</v>
      </c>
      <c r="AL107" t="n">
        <v>0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HYPERLINK("https://creighton-primo.hosted.exlibrisgroup.com/primo-explore/search?tab=default_tab&amp;search_scope=EVERYTHING&amp;vid=01CRU&amp;lang=en_US&amp;offset=0&amp;query=any,contains,991004203059702656","Catalog Record")</f>
        <v/>
      </c>
      <c r="AT107">
        <f>HYPERLINK("http://www.worldcat.org/oclc/2656552","WorldCat Record")</f>
        <v/>
      </c>
      <c r="AU107" t="inlineStr">
        <is>
          <t>1379183:eng</t>
        </is>
      </c>
      <c r="AV107" t="inlineStr">
        <is>
          <t>2656552</t>
        </is>
      </c>
      <c r="AW107" t="inlineStr">
        <is>
          <t>991004203059702656</t>
        </is>
      </c>
      <c r="AX107" t="inlineStr">
        <is>
          <t>991004203059702656</t>
        </is>
      </c>
      <c r="AY107" t="inlineStr">
        <is>
          <t>2255713660002656</t>
        </is>
      </c>
      <c r="AZ107" t="inlineStr">
        <is>
          <t>BOOK</t>
        </is>
      </c>
      <c r="BB107" t="inlineStr">
        <is>
          <t>9780433357018</t>
        </is>
      </c>
      <c r="BC107" t="inlineStr">
        <is>
          <t>32285003156998</t>
        </is>
      </c>
      <c r="BD107" t="inlineStr">
        <is>
          <t>893500262</t>
        </is>
      </c>
    </row>
    <row r="108">
      <c r="A108" t="inlineStr">
        <is>
          <t>No</t>
        </is>
      </c>
      <c r="B108" t="inlineStr">
        <is>
          <t>HV2390 .C65</t>
        </is>
      </c>
      <c r="C108" t="inlineStr">
        <is>
          <t>0                      HV 2390000C  65</t>
        </is>
      </c>
      <c r="D108" t="inlineStr">
        <is>
          <t>Communication for the hearing handicapped : an international perspective / edited by Herbert J. Oyer.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Baltimore : University Park Press, c1976.</t>
        </is>
      </c>
      <c r="M108" t="inlineStr">
        <is>
          <t>1976</t>
        </is>
      </c>
      <c r="O108" t="inlineStr">
        <is>
          <t>eng</t>
        </is>
      </c>
      <c r="P108" t="inlineStr">
        <is>
          <t>mdu</t>
        </is>
      </c>
      <c r="R108" t="inlineStr">
        <is>
          <t xml:space="preserve">HV </t>
        </is>
      </c>
      <c r="S108" t="n">
        <v>4</v>
      </c>
      <c r="T108" t="n">
        <v>4</v>
      </c>
      <c r="U108" t="inlineStr">
        <is>
          <t>2001-04-10</t>
        </is>
      </c>
      <c r="V108" t="inlineStr">
        <is>
          <t>2001-04-10</t>
        </is>
      </c>
      <c r="W108" t="inlineStr">
        <is>
          <t>1994-01-14</t>
        </is>
      </c>
      <c r="X108" t="inlineStr">
        <is>
          <t>1994-01-14</t>
        </is>
      </c>
      <c r="Y108" t="n">
        <v>465</v>
      </c>
      <c r="Z108" t="n">
        <v>387</v>
      </c>
      <c r="AA108" t="n">
        <v>392</v>
      </c>
      <c r="AB108" t="n">
        <v>5</v>
      </c>
      <c r="AC108" t="n">
        <v>5</v>
      </c>
      <c r="AD108" t="n">
        <v>13</v>
      </c>
      <c r="AE108" t="n">
        <v>13</v>
      </c>
      <c r="AF108" t="n">
        <v>4</v>
      </c>
      <c r="AG108" t="n">
        <v>4</v>
      </c>
      <c r="AH108" t="n">
        <v>4</v>
      </c>
      <c r="AI108" t="n">
        <v>4</v>
      </c>
      <c r="AJ108" t="n">
        <v>6</v>
      </c>
      <c r="AK108" t="n">
        <v>6</v>
      </c>
      <c r="AL108" t="n">
        <v>3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HYPERLINK("https://creighton-primo.hosted.exlibrisgroup.com/primo-explore/search?tab=default_tab&amp;search_scope=EVERYTHING&amp;vid=01CRU&amp;lang=en_US&amp;offset=0&amp;query=any,contains,991004019669702656","Catalog Record")</f>
        <v/>
      </c>
      <c r="AT108">
        <f>HYPERLINK("http://www.worldcat.org/oclc/2119595","WorldCat Record")</f>
        <v/>
      </c>
      <c r="AU108" t="inlineStr">
        <is>
          <t>3934519:eng</t>
        </is>
      </c>
      <c r="AV108" t="inlineStr">
        <is>
          <t>2119595</t>
        </is>
      </c>
      <c r="AW108" t="inlineStr">
        <is>
          <t>991004019669702656</t>
        </is>
      </c>
      <c r="AX108" t="inlineStr">
        <is>
          <t>991004019669702656</t>
        </is>
      </c>
      <c r="AY108" t="inlineStr">
        <is>
          <t>2268010460002656</t>
        </is>
      </c>
      <c r="AZ108" t="inlineStr">
        <is>
          <t>BOOK</t>
        </is>
      </c>
      <c r="BB108" t="inlineStr">
        <is>
          <t>9780839108269</t>
        </is>
      </c>
      <c r="BC108" t="inlineStr">
        <is>
          <t>32285001829711</t>
        </is>
      </c>
      <c r="BD108" t="inlineStr">
        <is>
          <t>893247063</t>
        </is>
      </c>
    </row>
    <row r="109">
      <c r="A109" t="inlineStr">
        <is>
          <t>No</t>
        </is>
      </c>
      <c r="B109" t="inlineStr">
        <is>
          <t>HV2390 .D42</t>
        </is>
      </c>
      <c r="C109" t="inlineStr">
        <is>
          <t>0                      HV 2390000D  42</t>
        </is>
      </c>
      <c r="D109" t="inlineStr">
        <is>
          <t>Deaf children : developmental perspectives / edited by Lynn S. Liben.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New York : Academic Press, 1978.</t>
        </is>
      </c>
      <c r="M109" t="inlineStr">
        <is>
          <t>1978</t>
        </is>
      </c>
      <c r="O109" t="inlineStr">
        <is>
          <t>eng</t>
        </is>
      </c>
      <c r="P109" t="inlineStr">
        <is>
          <t>nyu</t>
        </is>
      </c>
      <c r="Q109" t="inlineStr">
        <is>
          <t>Developmental psychology series</t>
        </is>
      </c>
      <c r="R109" t="inlineStr">
        <is>
          <t xml:space="preserve">HV </t>
        </is>
      </c>
      <c r="S109" t="n">
        <v>8</v>
      </c>
      <c r="T109" t="n">
        <v>8</v>
      </c>
      <c r="U109" t="inlineStr">
        <is>
          <t>2001-04-10</t>
        </is>
      </c>
      <c r="V109" t="inlineStr">
        <is>
          <t>2001-04-10</t>
        </is>
      </c>
      <c r="W109" t="inlineStr">
        <is>
          <t>1991-10-28</t>
        </is>
      </c>
      <c r="X109" t="inlineStr">
        <is>
          <t>1991-10-28</t>
        </is>
      </c>
      <c r="Y109" t="n">
        <v>637</v>
      </c>
      <c r="Z109" t="n">
        <v>494</v>
      </c>
      <c r="AA109" t="n">
        <v>516</v>
      </c>
      <c r="AB109" t="n">
        <v>5</v>
      </c>
      <c r="AC109" t="n">
        <v>5</v>
      </c>
      <c r="AD109" t="n">
        <v>21</v>
      </c>
      <c r="AE109" t="n">
        <v>23</v>
      </c>
      <c r="AF109" t="n">
        <v>9</v>
      </c>
      <c r="AG109" t="n">
        <v>10</v>
      </c>
      <c r="AH109" t="n">
        <v>5</v>
      </c>
      <c r="AI109" t="n">
        <v>6</v>
      </c>
      <c r="AJ109" t="n">
        <v>9</v>
      </c>
      <c r="AK109" t="n">
        <v>9</v>
      </c>
      <c r="AL109" t="n">
        <v>3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HYPERLINK("http://catalog.hathitrust.org/Record/000692468","HathiTrust Record")</f>
        <v/>
      </c>
      <c r="AS109">
        <f>HYPERLINK("https://creighton-primo.hosted.exlibrisgroup.com/primo-explore/search?tab=default_tab&amp;search_scope=EVERYTHING&amp;vid=01CRU&amp;lang=en_US&amp;offset=0&amp;query=any,contains,991004664179702656","Catalog Record")</f>
        <v/>
      </c>
      <c r="AT109">
        <f>HYPERLINK("http://www.worldcat.org/oclc/4499810","WorldCat Record")</f>
        <v/>
      </c>
      <c r="AU109" t="inlineStr">
        <is>
          <t>865293157:eng</t>
        </is>
      </c>
      <c r="AV109" t="inlineStr">
        <is>
          <t>4499810</t>
        </is>
      </c>
      <c r="AW109" t="inlineStr">
        <is>
          <t>991004664179702656</t>
        </is>
      </c>
      <c r="AX109" t="inlineStr">
        <is>
          <t>991004664179702656</t>
        </is>
      </c>
      <c r="AY109" t="inlineStr">
        <is>
          <t>2265911390002656</t>
        </is>
      </c>
      <c r="AZ109" t="inlineStr">
        <is>
          <t>BOOK</t>
        </is>
      </c>
      <c r="BB109" t="inlineStr">
        <is>
          <t>9780124479500</t>
        </is>
      </c>
      <c r="BC109" t="inlineStr">
        <is>
          <t>32285000802354</t>
        </is>
      </c>
      <c r="BD109" t="inlineStr">
        <is>
          <t>893442918</t>
        </is>
      </c>
    </row>
    <row r="110">
      <c r="A110" t="inlineStr">
        <is>
          <t>No</t>
        </is>
      </c>
      <c r="B110" t="inlineStr">
        <is>
          <t>HV2391 .E273 1984</t>
        </is>
      </c>
      <c r="C110" t="inlineStr">
        <is>
          <t>0                      HV 2391000E  273         1984</t>
        </is>
      </c>
      <c r="D110" t="inlineStr">
        <is>
          <t>Early intervention for hearing-impaired children : total communication options / edited by Daniel Ling.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San Diego, Calif. : College-Hill Press, c1984.</t>
        </is>
      </c>
      <c r="M110" t="inlineStr">
        <is>
          <t>1984</t>
        </is>
      </c>
      <c r="O110" t="inlineStr">
        <is>
          <t>eng</t>
        </is>
      </c>
      <c r="P110" t="inlineStr">
        <is>
          <t>cau</t>
        </is>
      </c>
      <c r="R110" t="inlineStr">
        <is>
          <t xml:space="preserve">HV </t>
        </is>
      </c>
      <c r="S110" t="n">
        <v>5</v>
      </c>
      <c r="T110" t="n">
        <v>5</v>
      </c>
      <c r="U110" t="inlineStr">
        <is>
          <t>2001-02-20</t>
        </is>
      </c>
      <c r="V110" t="inlineStr">
        <is>
          <t>2001-02-20</t>
        </is>
      </c>
      <c r="W110" t="inlineStr">
        <is>
          <t>1991-10-28</t>
        </is>
      </c>
      <c r="X110" t="inlineStr">
        <is>
          <t>1991-10-28</t>
        </is>
      </c>
      <c r="Y110" t="n">
        <v>283</v>
      </c>
      <c r="Z110" t="n">
        <v>242</v>
      </c>
      <c r="AA110" t="n">
        <v>242</v>
      </c>
      <c r="AB110" t="n">
        <v>4</v>
      </c>
      <c r="AC110" t="n">
        <v>4</v>
      </c>
      <c r="AD110" t="n">
        <v>9</v>
      </c>
      <c r="AE110" t="n">
        <v>9</v>
      </c>
      <c r="AF110" t="n">
        <v>2</v>
      </c>
      <c r="AG110" t="n">
        <v>2</v>
      </c>
      <c r="AH110" t="n">
        <v>2</v>
      </c>
      <c r="AI110" t="n">
        <v>2</v>
      </c>
      <c r="AJ110" t="n">
        <v>3</v>
      </c>
      <c r="AK110" t="n">
        <v>3</v>
      </c>
      <c r="AL110" t="n">
        <v>3</v>
      </c>
      <c r="AM110" t="n">
        <v>3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HYPERLINK("https://creighton-primo.hosted.exlibrisgroup.com/primo-explore/search?tab=default_tab&amp;search_scope=EVERYTHING&amp;vid=01CRU&amp;lang=en_US&amp;offset=0&amp;query=any,contains,991000430109702656","Catalog Record")</f>
        <v/>
      </c>
      <c r="AT110">
        <f>HYPERLINK("http://www.worldcat.org/oclc/10778300","WorldCat Record")</f>
        <v/>
      </c>
      <c r="AU110" t="inlineStr">
        <is>
          <t>4162182080:eng</t>
        </is>
      </c>
      <c r="AV110" t="inlineStr">
        <is>
          <t>10778300</t>
        </is>
      </c>
      <c r="AW110" t="inlineStr">
        <is>
          <t>991000430109702656</t>
        </is>
      </c>
      <c r="AX110" t="inlineStr">
        <is>
          <t>991000430109702656</t>
        </is>
      </c>
      <c r="AY110" t="inlineStr">
        <is>
          <t>2267993620002656</t>
        </is>
      </c>
      <c r="AZ110" t="inlineStr">
        <is>
          <t>BOOK</t>
        </is>
      </c>
      <c r="BB110" t="inlineStr">
        <is>
          <t>9780933014329</t>
        </is>
      </c>
      <c r="BC110" t="inlineStr">
        <is>
          <t>32285000802347</t>
        </is>
      </c>
      <c r="BD110" t="inlineStr">
        <is>
          <t>893249340</t>
        </is>
      </c>
    </row>
    <row r="111">
      <c r="A111" t="inlineStr">
        <is>
          <t>No</t>
        </is>
      </c>
      <c r="B111" t="inlineStr">
        <is>
          <t>HV2391 .H44 1982</t>
        </is>
      </c>
      <c r="C111" t="inlineStr">
        <is>
          <t>0                      HV 2391000H  44          1982</t>
        </is>
      </c>
      <c r="D111" t="inlineStr">
        <is>
          <t>Behavioral traits of deaf children / by Norman L. Heimgartner.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Heimgartner, Norman L.</t>
        </is>
      </c>
      <c r="L111" t="inlineStr">
        <is>
          <t>Springfield, Ill. : Thomas, c1982.</t>
        </is>
      </c>
      <c r="M111" t="inlineStr">
        <is>
          <t>1982</t>
        </is>
      </c>
      <c r="O111" t="inlineStr">
        <is>
          <t>eng</t>
        </is>
      </c>
      <c r="P111" t="inlineStr">
        <is>
          <t>ilu</t>
        </is>
      </c>
      <c r="R111" t="inlineStr">
        <is>
          <t xml:space="preserve">HV </t>
        </is>
      </c>
      <c r="S111" t="n">
        <v>5</v>
      </c>
      <c r="T111" t="n">
        <v>5</v>
      </c>
      <c r="U111" t="inlineStr">
        <is>
          <t>2000-10-25</t>
        </is>
      </c>
      <c r="V111" t="inlineStr">
        <is>
          <t>2000-10-25</t>
        </is>
      </c>
      <c r="W111" t="inlineStr">
        <is>
          <t>1991-10-28</t>
        </is>
      </c>
      <c r="X111" t="inlineStr">
        <is>
          <t>1991-10-28</t>
        </is>
      </c>
      <c r="Y111" t="n">
        <v>264</v>
      </c>
      <c r="Z111" t="n">
        <v>229</v>
      </c>
      <c r="AA111" t="n">
        <v>230</v>
      </c>
      <c r="AB111" t="n">
        <v>3</v>
      </c>
      <c r="AC111" t="n">
        <v>3</v>
      </c>
      <c r="AD111" t="n">
        <v>6</v>
      </c>
      <c r="AE111" t="n">
        <v>6</v>
      </c>
      <c r="AF111" t="n">
        <v>1</v>
      </c>
      <c r="AG111" t="n">
        <v>1</v>
      </c>
      <c r="AH111" t="n">
        <v>0</v>
      </c>
      <c r="AI111" t="n">
        <v>0</v>
      </c>
      <c r="AJ111" t="n">
        <v>3</v>
      </c>
      <c r="AK111" t="n">
        <v>3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HYPERLINK("https://creighton-primo.hosted.exlibrisgroup.com/primo-explore/search?tab=default_tab&amp;search_scope=EVERYTHING&amp;vid=01CRU&amp;lang=en_US&amp;offset=0&amp;query=any,contains,991005133629702656","Catalog Record")</f>
        <v/>
      </c>
      <c r="AT111">
        <f>HYPERLINK("http://www.worldcat.org/oclc/7574673","WorldCat Record")</f>
        <v/>
      </c>
      <c r="AU111" t="inlineStr">
        <is>
          <t>472445:eng</t>
        </is>
      </c>
      <c r="AV111" t="inlineStr">
        <is>
          <t>7574673</t>
        </is>
      </c>
      <c r="AW111" t="inlineStr">
        <is>
          <t>991005133629702656</t>
        </is>
      </c>
      <c r="AX111" t="inlineStr">
        <is>
          <t>991005133629702656</t>
        </is>
      </c>
      <c r="AY111" t="inlineStr">
        <is>
          <t>2272696840002656</t>
        </is>
      </c>
      <c r="AZ111" t="inlineStr">
        <is>
          <t>BOOK</t>
        </is>
      </c>
      <c r="BB111" t="inlineStr">
        <is>
          <t>9780398045715</t>
        </is>
      </c>
      <c r="BC111" t="inlineStr">
        <is>
          <t>32285000802339</t>
        </is>
      </c>
      <c r="BD111" t="inlineStr">
        <is>
          <t>893719831</t>
        </is>
      </c>
    </row>
    <row r="112">
      <c r="A112" t="inlineStr">
        <is>
          <t>No</t>
        </is>
      </c>
      <c r="B112" t="inlineStr">
        <is>
          <t>HV2395 .L35 2009</t>
        </is>
      </c>
      <c r="C112" t="inlineStr">
        <is>
          <t>0                      HV 2395000L  35          2009</t>
        </is>
      </c>
      <c r="D112" t="inlineStr">
        <is>
          <t>A lens on deaf identities / Irene W. Leigh.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Leigh, Irene.</t>
        </is>
      </c>
      <c r="L112" t="inlineStr">
        <is>
          <t>Oxford ; New York : Oxford University Press, 2009.</t>
        </is>
      </c>
      <c r="M112" t="inlineStr">
        <is>
          <t>2009</t>
        </is>
      </c>
      <c r="O112" t="inlineStr">
        <is>
          <t>eng</t>
        </is>
      </c>
      <c r="P112" t="inlineStr">
        <is>
          <t>enk</t>
        </is>
      </c>
      <c r="Q112" t="inlineStr">
        <is>
          <t>Perspectives on deafness</t>
        </is>
      </c>
      <c r="R112" t="inlineStr">
        <is>
          <t xml:space="preserve">HV </t>
        </is>
      </c>
      <c r="S112" t="n">
        <v>1</v>
      </c>
      <c r="T112" t="n">
        <v>1</v>
      </c>
      <c r="U112" t="inlineStr">
        <is>
          <t>2009-09-24</t>
        </is>
      </c>
      <c r="V112" t="inlineStr">
        <is>
          <t>2009-09-24</t>
        </is>
      </c>
      <c r="W112" t="inlineStr">
        <is>
          <t>2009-09-24</t>
        </is>
      </c>
      <c r="X112" t="inlineStr">
        <is>
          <t>2009-09-24</t>
        </is>
      </c>
      <c r="Y112" t="n">
        <v>463</v>
      </c>
      <c r="Z112" t="n">
        <v>401</v>
      </c>
      <c r="AA112" t="n">
        <v>472</v>
      </c>
      <c r="AB112" t="n">
        <v>1</v>
      </c>
      <c r="AC112" t="n">
        <v>1</v>
      </c>
      <c r="AD112" t="n">
        <v>19</v>
      </c>
      <c r="AE112" t="n">
        <v>22</v>
      </c>
      <c r="AF112" t="n">
        <v>11</v>
      </c>
      <c r="AG112" t="n">
        <v>12</v>
      </c>
      <c r="AH112" t="n">
        <v>3</v>
      </c>
      <c r="AI112" t="n">
        <v>6</v>
      </c>
      <c r="AJ112" t="n">
        <v>12</v>
      </c>
      <c r="AK112" t="n">
        <v>13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HYPERLINK("https://creighton-primo.hosted.exlibrisgroup.com/primo-explore/search?tab=default_tab&amp;search_scope=EVERYTHING&amp;vid=01CRU&amp;lang=en_US&amp;offset=0&amp;query=any,contains,991005334619702656","Catalog Record")</f>
        <v/>
      </c>
      <c r="AT112">
        <f>HYPERLINK("http://www.worldcat.org/oclc/243777623","WorldCat Record")</f>
        <v/>
      </c>
      <c r="AU112" t="inlineStr">
        <is>
          <t>348714231:eng</t>
        </is>
      </c>
      <c r="AV112" t="inlineStr">
        <is>
          <t>243777623</t>
        </is>
      </c>
      <c r="AW112" t="inlineStr">
        <is>
          <t>991005334619702656</t>
        </is>
      </c>
      <c r="AX112" t="inlineStr">
        <is>
          <t>991005334619702656</t>
        </is>
      </c>
      <c r="AY112" t="inlineStr">
        <is>
          <t>2260807990002656</t>
        </is>
      </c>
      <c r="AZ112" t="inlineStr">
        <is>
          <t>BOOK</t>
        </is>
      </c>
      <c r="BB112" t="inlineStr">
        <is>
          <t>9780195320664</t>
        </is>
      </c>
      <c r="BC112" t="inlineStr">
        <is>
          <t>32285005545065</t>
        </is>
      </c>
      <c r="BD112" t="inlineStr">
        <is>
          <t>893501711</t>
        </is>
      </c>
    </row>
    <row r="113">
      <c r="A113" t="inlineStr">
        <is>
          <t>No</t>
        </is>
      </c>
      <c r="B113" t="inlineStr">
        <is>
          <t>HV2395 .M897 1964</t>
        </is>
      </c>
      <c r="C113" t="inlineStr">
        <is>
          <t>0                      HV 2395000M  897         1964</t>
        </is>
      </c>
      <c r="D113" t="inlineStr">
        <is>
          <t>The psychology of deafness : sensory deprivation, learning, and adjustment / [by] Helmer R. Myklebust.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Myklebust, Helmer R.</t>
        </is>
      </c>
      <c r="L113" t="inlineStr">
        <is>
          <t>New York : Grune &amp; Stratton, [c1964]</t>
        </is>
      </c>
      <c r="M113" t="inlineStr">
        <is>
          <t>1964</t>
        </is>
      </c>
      <c r="N113" t="inlineStr">
        <is>
          <t>2d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HV </t>
        </is>
      </c>
      <c r="S113" t="n">
        <v>2</v>
      </c>
      <c r="T113" t="n">
        <v>7</v>
      </c>
      <c r="U113" t="inlineStr">
        <is>
          <t>1996-11-15</t>
        </is>
      </c>
      <c r="V113" t="inlineStr">
        <is>
          <t>1996-11-15</t>
        </is>
      </c>
      <c r="W113" t="inlineStr">
        <is>
          <t>1990-02-27</t>
        </is>
      </c>
      <c r="X113" t="inlineStr">
        <is>
          <t>1990-02-27</t>
        </is>
      </c>
      <c r="Y113" t="n">
        <v>660</v>
      </c>
      <c r="Z113" t="n">
        <v>527</v>
      </c>
      <c r="AA113" t="n">
        <v>633</v>
      </c>
      <c r="AB113" t="n">
        <v>8</v>
      </c>
      <c r="AC113" t="n">
        <v>9</v>
      </c>
      <c r="AD113" t="n">
        <v>22</v>
      </c>
      <c r="AE113" t="n">
        <v>28</v>
      </c>
      <c r="AF113" t="n">
        <v>9</v>
      </c>
      <c r="AG113" t="n">
        <v>10</v>
      </c>
      <c r="AH113" t="n">
        <v>2</v>
      </c>
      <c r="AI113" t="n">
        <v>4</v>
      </c>
      <c r="AJ113" t="n">
        <v>11</v>
      </c>
      <c r="AK113" t="n">
        <v>16</v>
      </c>
      <c r="AL113" t="n">
        <v>4</v>
      </c>
      <c r="AM113" t="n">
        <v>5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HYPERLINK("http://catalog.hathitrust.org/Record/001569362","HathiTrust Record")</f>
        <v/>
      </c>
      <c r="AS113">
        <f>HYPERLINK("https://creighton-primo.hosted.exlibrisgroup.com/primo-explore/search?tab=default_tab&amp;search_scope=EVERYTHING&amp;vid=01CRU&amp;lang=en_US&amp;offset=0&amp;query=any,contains,991001781299702656","Catalog Record")</f>
        <v/>
      </c>
      <c r="AT113">
        <f>HYPERLINK("http://www.worldcat.org/oclc/711238","WorldCat Record")</f>
        <v/>
      </c>
      <c r="AU113" t="inlineStr">
        <is>
          <t>213330:eng</t>
        </is>
      </c>
      <c r="AV113" t="inlineStr">
        <is>
          <t>711238</t>
        </is>
      </c>
      <c r="AW113" t="inlineStr">
        <is>
          <t>991001781299702656</t>
        </is>
      </c>
      <c r="AX113" t="inlineStr">
        <is>
          <t>991001781299702656</t>
        </is>
      </c>
      <c r="AY113" t="inlineStr">
        <is>
          <t>2263986710002656</t>
        </is>
      </c>
      <c r="AZ113" t="inlineStr">
        <is>
          <t>BOOK</t>
        </is>
      </c>
      <c r="BB113" t="inlineStr">
        <is>
          <t>9780808903390</t>
        </is>
      </c>
      <c r="BC113" t="inlineStr">
        <is>
          <t>32285000061910</t>
        </is>
      </c>
      <c r="BD113" t="inlineStr">
        <is>
          <t>893328373</t>
        </is>
      </c>
    </row>
    <row r="114">
      <c r="A114" t="inlineStr">
        <is>
          <t>No</t>
        </is>
      </c>
      <c r="B114" t="inlineStr">
        <is>
          <t>HV2395 .M9 1950</t>
        </is>
      </c>
      <c r="C114" t="inlineStr">
        <is>
          <t>0                      HV 2395000M  9           1950</t>
        </is>
      </c>
      <c r="D114" t="inlineStr">
        <is>
          <t>Your deaf child : a guide for parents / with a foreword by Hallowell Davis.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Myklebust, Helmer R.</t>
        </is>
      </c>
      <c r="L114" t="inlineStr">
        <is>
          <t>Springfield, Ill. : Thomas, [1950]</t>
        </is>
      </c>
      <c r="M114" t="inlineStr">
        <is>
          <t>1950</t>
        </is>
      </c>
      <c r="O114" t="inlineStr">
        <is>
          <t>eng</t>
        </is>
      </c>
      <c r="P114" t="inlineStr">
        <is>
          <t>ilu</t>
        </is>
      </c>
      <c r="Q114" t="inlineStr">
        <is>
          <t>American lecture series ; no. 94</t>
        </is>
      </c>
      <c r="R114" t="inlineStr">
        <is>
          <t xml:space="preserve">HV </t>
        </is>
      </c>
      <c r="S114" t="n">
        <v>4</v>
      </c>
      <c r="T114" t="n">
        <v>4</v>
      </c>
      <c r="U114" t="inlineStr">
        <is>
          <t>2001-02-20</t>
        </is>
      </c>
      <c r="V114" t="inlineStr">
        <is>
          <t>2001-02-20</t>
        </is>
      </c>
      <c r="W114" t="inlineStr">
        <is>
          <t>1990-12-13</t>
        </is>
      </c>
      <c r="X114" t="inlineStr">
        <is>
          <t>1990-12-13</t>
        </is>
      </c>
      <c r="Y114" t="n">
        <v>464</v>
      </c>
      <c r="Z114" t="n">
        <v>417</v>
      </c>
      <c r="AA114" t="n">
        <v>450</v>
      </c>
      <c r="AB114" t="n">
        <v>7</v>
      </c>
      <c r="AC114" t="n">
        <v>7</v>
      </c>
      <c r="AD114" t="n">
        <v>19</v>
      </c>
      <c r="AE114" t="n">
        <v>19</v>
      </c>
      <c r="AF114" t="n">
        <v>6</v>
      </c>
      <c r="AG114" t="n">
        <v>6</v>
      </c>
      <c r="AH114" t="n">
        <v>4</v>
      </c>
      <c r="AI114" t="n">
        <v>4</v>
      </c>
      <c r="AJ114" t="n">
        <v>7</v>
      </c>
      <c r="AK114" t="n">
        <v>7</v>
      </c>
      <c r="AL114" t="n">
        <v>4</v>
      </c>
      <c r="AM114" t="n">
        <v>4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HYPERLINK("http://catalog.hathitrust.org/Record/000852624","HathiTrust Record")</f>
        <v/>
      </c>
      <c r="AS114">
        <f>HYPERLINK("https://creighton-primo.hosted.exlibrisgroup.com/primo-explore/search?tab=default_tab&amp;search_scope=EVERYTHING&amp;vid=01CRU&amp;lang=en_US&amp;offset=0&amp;query=any,contains,991001174799702656","Catalog Record")</f>
        <v/>
      </c>
      <c r="AT114">
        <f>HYPERLINK("http://www.worldcat.org/oclc/188763","WorldCat Record")</f>
        <v/>
      </c>
      <c r="AU114" t="inlineStr">
        <is>
          <t>573814:eng</t>
        </is>
      </c>
      <c r="AV114" t="inlineStr">
        <is>
          <t>188763</t>
        </is>
      </c>
      <c r="AW114" t="inlineStr">
        <is>
          <t>991001174799702656</t>
        </is>
      </c>
      <c r="AX114" t="inlineStr">
        <is>
          <t>991001174799702656</t>
        </is>
      </c>
      <c r="AY114" t="inlineStr">
        <is>
          <t>2267964010002656</t>
        </is>
      </c>
      <c r="AZ114" t="inlineStr">
        <is>
          <t>BOOK</t>
        </is>
      </c>
      <c r="BC114" t="inlineStr">
        <is>
          <t>32285000425388</t>
        </is>
      </c>
      <c r="BD114" t="inlineStr">
        <is>
          <t>893720945</t>
        </is>
      </c>
    </row>
    <row r="115">
      <c r="A115" t="inlineStr">
        <is>
          <t>No</t>
        </is>
      </c>
      <c r="B115" t="inlineStr">
        <is>
          <t>HV2395 .P75</t>
        </is>
      </c>
      <c r="C115" t="inlineStr">
        <is>
          <t>0                      HV 2395000P  75</t>
        </is>
      </c>
      <c r="D115" t="inlineStr">
        <is>
          <t>Psychology of deafness for rehabilitation counselors / edited by Brian Bolton.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Baltimore : University Park Press, c1976.</t>
        </is>
      </c>
      <c r="M115" t="inlineStr">
        <is>
          <t>1976</t>
        </is>
      </c>
      <c r="O115" t="inlineStr">
        <is>
          <t>eng</t>
        </is>
      </c>
      <c r="P115" t="inlineStr">
        <is>
          <t>mdu</t>
        </is>
      </c>
      <c r="R115" t="inlineStr">
        <is>
          <t xml:space="preserve">HV </t>
        </is>
      </c>
      <c r="S115" t="n">
        <v>1</v>
      </c>
      <c r="T115" t="n">
        <v>1</v>
      </c>
      <c r="U115" t="inlineStr">
        <is>
          <t>2002-04-07</t>
        </is>
      </c>
      <c r="V115" t="inlineStr">
        <is>
          <t>2002-04-07</t>
        </is>
      </c>
      <c r="W115" t="inlineStr">
        <is>
          <t>1997-08-22</t>
        </is>
      </c>
      <c r="X115" t="inlineStr">
        <is>
          <t>1997-08-22</t>
        </is>
      </c>
      <c r="Y115" t="n">
        <v>527</v>
      </c>
      <c r="Z115" t="n">
        <v>443</v>
      </c>
      <c r="AA115" t="n">
        <v>446</v>
      </c>
      <c r="AB115" t="n">
        <v>6</v>
      </c>
      <c r="AC115" t="n">
        <v>6</v>
      </c>
      <c r="AD115" t="n">
        <v>21</v>
      </c>
      <c r="AE115" t="n">
        <v>21</v>
      </c>
      <c r="AF115" t="n">
        <v>9</v>
      </c>
      <c r="AG115" t="n">
        <v>9</v>
      </c>
      <c r="AH115" t="n">
        <v>4</v>
      </c>
      <c r="AI115" t="n">
        <v>4</v>
      </c>
      <c r="AJ115" t="n">
        <v>11</v>
      </c>
      <c r="AK115" t="n">
        <v>11</v>
      </c>
      <c r="AL115" t="n">
        <v>4</v>
      </c>
      <c r="AM115" t="n">
        <v>4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HYPERLINK("http://catalog.hathitrust.org/Record/000700966","HathiTrust Record")</f>
        <v/>
      </c>
      <c r="AS115">
        <f>HYPERLINK("https://creighton-primo.hosted.exlibrisgroup.com/primo-explore/search?tab=default_tab&amp;search_scope=EVERYTHING&amp;vid=01CRU&amp;lang=en_US&amp;offset=0&amp;query=any,contains,991004000519702656","Catalog Record")</f>
        <v/>
      </c>
      <c r="AT115">
        <f>HYPERLINK("http://www.worldcat.org/oclc/2072851","WorldCat Record")</f>
        <v/>
      </c>
      <c r="AU115" t="inlineStr">
        <is>
          <t>504074:eng</t>
        </is>
      </c>
      <c r="AV115" t="inlineStr">
        <is>
          <t>2072851</t>
        </is>
      </c>
      <c r="AW115" t="inlineStr">
        <is>
          <t>991004000519702656</t>
        </is>
      </c>
      <c r="AX115" t="inlineStr">
        <is>
          <t>991004000519702656</t>
        </is>
      </c>
      <c r="AY115" t="inlineStr">
        <is>
          <t>2254749990002656</t>
        </is>
      </c>
      <c r="AZ115" t="inlineStr">
        <is>
          <t>BOOK</t>
        </is>
      </c>
      <c r="BB115" t="inlineStr">
        <is>
          <t>9780839109266</t>
        </is>
      </c>
      <c r="BC115" t="inlineStr">
        <is>
          <t>32285003157004</t>
        </is>
      </c>
      <c r="BD115" t="inlineStr">
        <is>
          <t>893349495</t>
        </is>
      </c>
    </row>
    <row r="116">
      <c r="A116" t="inlineStr">
        <is>
          <t>No</t>
        </is>
      </c>
      <c r="B116" t="inlineStr">
        <is>
          <t>HV2430 .F8</t>
        </is>
      </c>
      <c r="C116" t="inlineStr">
        <is>
          <t>0                      HV 2430000F  8</t>
        </is>
      </c>
      <c r="D116" t="inlineStr">
        <is>
          <t>A handbook of readings in education of the deaf and postschool implications. Edited by Irving S. Fusfeld.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Fusfeld, Irving S. (Irving Sidney), 1893-1977.</t>
        </is>
      </c>
      <c r="L116" t="inlineStr">
        <is>
          <t>Springfield, Ill., Thomas [1967]</t>
        </is>
      </c>
      <c r="M116" t="inlineStr">
        <is>
          <t>1967</t>
        </is>
      </c>
      <c r="O116" t="inlineStr">
        <is>
          <t>eng</t>
        </is>
      </c>
      <c r="P116" t="inlineStr">
        <is>
          <t>ilu</t>
        </is>
      </c>
      <c r="R116" t="inlineStr">
        <is>
          <t xml:space="preserve">HV </t>
        </is>
      </c>
      <c r="S116" t="n">
        <v>3</v>
      </c>
      <c r="T116" t="n">
        <v>3</v>
      </c>
      <c r="U116" t="inlineStr">
        <is>
          <t>2000-11-15</t>
        </is>
      </c>
      <c r="V116" t="inlineStr">
        <is>
          <t>2000-11-15</t>
        </is>
      </c>
      <c r="W116" t="inlineStr">
        <is>
          <t>1997-08-22</t>
        </is>
      </c>
      <c r="X116" t="inlineStr">
        <is>
          <t>1997-08-22</t>
        </is>
      </c>
      <c r="Y116" t="n">
        <v>286</v>
      </c>
      <c r="Z116" t="n">
        <v>256</v>
      </c>
      <c r="AA116" t="n">
        <v>259</v>
      </c>
      <c r="AB116" t="n">
        <v>2</v>
      </c>
      <c r="AC116" t="n">
        <v>2</v>
      </c>
      <c r="AD116" t="n">
        <v>12</v>
      </c>
      <c r="AE116" t="n">
        <v>12</v>
      </c>
      <c r="AF116" t="n">
        <v>6</v>
      </c>
      <c r="AG116" t="n">
        <v>6</v>
      </c>
      <c r="AH116" t="n">
        <v>2</v>
      </c>
      <c r="AI116" t="n">
        <v>2</v>
      </c>
      <c r="AJ116" t="n">
        <v>7</v>
      </c>
      <c r="AK116" t="n">
        <v>7</v>
      </c>
      <c r="AL116" t="n">
        <v>1</v>
      </c>
      <c r="AM116" t="n">
        <v>1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HYPERLINK("http://catalog.hathitrust.org/Record/001133108","HathiTrust Record")</f>
        <v/>
      </c>
      <c r="AS116">
        <f>HYPERLINK("https://creighton-primo.hosted.exlibrisgroup.com/primo-explore/search?tab=default_tab&amp;search_scope=EVERYTHING&amp;vid=01CRU&amp;lang=en_US&amp;offset=0&amp;query=any,contains,991002078589702656","Catalog Record")</f>
        <v/>
      </c>
      <c r="AT116">
        <f>HYPERLINK("http://www.worldcat.org/oclc/264132","WorldCat Record")</f>
        <v/>
      </c>
      <c r="AU116" t="inlineStr">
        <is>
          <t>1379053:eng</t>
        </is>
      </c>
      <c r="AV116" t="inlineStr">
        <is>
          <t>264132</t>
        </is>
      </c>
      <c r="AW116" t="inlineStr">
        <is>
          <t>991002078589702656</t>
        </is>
      </c>
      <c r="AX116" t="inlineStr">
        <is>
          <t>991002078589702656</t>
        </is>
      </c>
      <c r="AY116" t="inlineStr">
        <is>
          <t>2268196640002656</t>
        </is>
      </c>
      <c r="AZ116" t="inlineStr">
        <is>
          <t>BOOK</t>
        </is>
      </c>
      <c r="BC116" t="inlineStr">
        <is>
          <t>32285003157020</t>
        </is>
      </c>
      <c r="BD116" t="inlineStr">
        <is>
          <t>893347082</t>
        </is>
      </c>
    </row>
    <row r="117">
      <c r="A117" t="inlineStr">
        <is>
          <t>No</t>
        </is>
      </c>
      <c r="B117" t="inlineStr">
        <is>
          <t>HV2437 .P4</t>
        </is>
      </c>
      <c r="C117" t="inlineStr">
        <is>
          <t>0                      HV 2437000P  4</t>
        </is>
      </c>
      <c r="D117" t="inlineStr">
        <is>
          <t>Persons with hearing loss / edited by Jerry Griffith.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Springfield, Ill. : C. C. Thomas, [c1969]</t>
        </is>
      </c>
      <c r="M117" t="inlineStr">
        <is>
          <t>1969</t>
        </is>
      </c>
      <c r="O117" t="inlineStr">
        <is>
          <t>eng</t>
        </is>
      </c>
      <c r="P117" t="inlineStr">
        <is>
          <t>ilu</t>
        </is>
      </c>
      <c r="R117" t="inlineStr">
        <is>
          <t xml:space="preserve">HV </t>
        </is>
      </c>
      <c r="S117" t="n">
        <v>4</v>
      </c>
      <c r="T117" t="n">
        <v>4</v>
      </c>
      <c r="U117" t="inlineStr">
        <is>
          <t>1999-04-25</t>
        </is>
      </c>
      <c r="V117" t="inlineStr">
        <is>
          <t>1999-04-25</t>
        </is>
      </c>
      <c r="W117" t="inlineStr">
        <is>
          <t>1990-10-02</t>
        </is>
      </c>
      <c r="X117" t="inlineStr">
        <is>
          <t>1990-10-02</t>
        </is>
      </c>
      <c r="Y117" t="n">
        <v>284</v>
      </c>
      <c r="Z117" t="n">
        <v>254</v>
      </c>
      <c r="AA117" t="n">
        <v>257</v>
      </c>
      <c r="AB117" t="n">
        <v>3</v>
      </c>
      <c r="AC117" t="n">
        <v>3</v>
      </c>
      <c r="AD117" t="n">
        <v>9</v>
      </c>
      <c r="AE117" t="n">
        <v>9</v>
      </c>
      <c r="AF117" t="n">
        <v>2</v>
      </c>
      <c r="AG117" t="n">
        <v>2</v>
      </c>
      <c r="AH117" t="n">
        <v>2</v>
      </c>
      <c r="AI117" t="n">
        <v>2</v>
      </c>
      <c r="AJ117" t="n">
        <v>4</v>
      </c>
      <c r="AK117" t="n">
        <v>4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HYPERLINK("http://catalog.hathitrust.org/Record/004401404","HathiTrust Record")</f>
        <v/>
      </c>
      <c r="AS117">
        <f>HYPERLINK("https://creighton-primo.hosted.exlibrisgroup.com/primo-explore/search?tab=default_tab&amp;search_scope=EVERYTHING&amp;vid=01CRU&amp;lang=en_US&amp;offset=0&amp;query=any,contains,991000184309702656","Catalog Record")</f>
        <v/>
      </c>
      <c r="AT117">
        <f>HYPERLINK("http://www.worldcat.org/oclc/62574","WorldCat Record")</f>
        <v/>
      </c>
      <c r="AU117" t="inlineStr">
        <is>
          <t>1225137:eng</t>
        </is>
      </c>
      <c r="AV117" t="inlineStr">
        <is>
          <t>62574</t>
        </is>
      </c>
      <c r="AW117" t="inlineStr">
        <is>
          <t>991000184309702656</t>
        </is>
      </c>
      <c r="AX117" t="inlineStr">
        <is>
          <t>991000184309702656</t>
        </is>
      </c>
      <c r="AY117" t="inlineStr">
        <is>
          <t>2254861530002656</t>
        </is>
      </c>
      <c r="AZ117" t="inlineStr">
        <is>
          <t>BOOK</t>
        </is>
      </c>
      <c r="BC117" t="inlineStr">
        <is>
          <t>32285000324938</t>
        </is>
      </c>
      <c r="BD117" t="inlineStr">
        <is>
          <t>893595379</t>
        </is>
      </c>
    </row>
    <row r="118">
      <c r="A118" t="inlineStr">
        <is>
          <t>No</t>
        </is>
      </c>
      <c r="B118" t="inlineStr">
        <is>
          <t>HV2440 .B86 1987</t>
        </is>
      </c>
      <c r="C118" t="inlineStr">
        <is>
          <t>0                      HV 2440000B  86          1987</t>
        </is>
      </c>
      <c r="D118" t="inlineStr">
        <is>
          <t>The curriculum and the hearing-impaired student : theoretical and practical considerations / Gary Owen Bunch.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Bunch, Gary Owen, 1938-</t>
        </is>
      </c>
      <c r="L118" t="inlineStr">
        <is>
          <t>Boston : Little, Brown, c1987.</t>
        </is>
      </c>
      <c r="M118" t="inlineStr">
        <is>
          <t>1987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HV </t>
        </is>
      </c>
      <c r="S118" t="n">
        <v>14</v>
      </c>
      <c r="T118" t="n">
        <v>14</v>
      </c>
      <c r="U118" t="inlineStr">
        <is>
          <t>2006-05-30</t>
        </is>
      </c>
      <c r="V118" t="inlineStr">
        <is>
          <t>2006-05-30</t>
        </is>
      </c>
      <c r="W118" t="inlineStr">
        <is>
          <t>1990-04-10</t>
        </is>
      </c>
      <c r="X118" t="inlineStr">
        <is>
          <t>1990-04-10</t>
        </is>
      </c>
      <c r="Y118" t="n">
        <v>274</v>
      </c>
      <c r="Z118" t="n">
        <v>229</v>
      </c>
      <c r="AA118" t="n">
        <v>237</v>
      </c>
      <c r="AB118" t="n">
        <v>3</v>
      </c>
      <c r="AC118" t="n">
        <v>3</v>
      </c>
      <c r="AD118" t="n">
        <v>8</v>
      </c>
      <c r="AE118" t="n">
        <v>8</v>
      </c>
      <c r="AF118" t="n">
        <v>4</v>
      </c>
      <c r="AG118" t="n">
        <v>4</v>
      </c>
      <c r="AH118" t="n">
        <v>1</v>
      </c>
      <c r="AI118" t="n">
        <v>1</v>
      </c>
      <c r="AJ118" t="n">
        <v>4</v>
      </c>
      <c r="AK118" t="n">
        <v>4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HYPERLINK("https://creighton-primo.hosted.exlibrisgroup.com/primo-explore/search?tab=default_tab&amp;search_scope=EVERYTHING&amp;vid=01CRU&amp;lang=en_US&amp;offset=0&amp;query=any,contains,991001063679702656","Catalog Record")</f>
        <v/>
      </c>
      <c r="AT118">
        <f>HYPERLINK("http://www.worldcat.org/oclc/15791967","WorldCat Record")</f>
        <v/>
      </c>
      <c r="AU118" t="inlineStr">
        <is>
          <t>11577067:eng</t>
        </is>
      </c>
      <c r="AV118" t="inlineStr">
        <is>
          <t>15791967</t>
        </is>
      </c>
      <c r="AW118" t="inlineStr">
        <is>
          <t>991001063679702656</t>
        </is>
      </c>
      <c r="AX118" t="inlineStr">
        <is>
          <t>991001063679702656</t>
        </is>
      </c>
      <c r="AY118" t="inlineStr">
        <is>
          <t>2259840890002656</t>
        </is>
      </c>
      <c r="AZ118" t="inlineStr">
        <is>
          <t>BOOK</t>
        </is>
      </c>
      <c r="BB118" t="inlineStr">
        <is>
          <t>9780316114820</t>
        </is>
      </c>
      <c r="BC118" t="inlineStr">
        <is>
          <t>32285000120369</t>
        </is>
      </c>
      <c r="BD118" t="inlineStr">
        <is>
          <t>893803304</t>
        </is>
      </c>
    </row>
    <row r="119">
      <c r="A119" t="inlineStr">
        <is>
          <t>No</t>
        </is>
      </c>
      <c r="B119" t="inlineStr">
        <is>
          <t>HV245 .A66 2003</t>
        </is>
      </c>
      <c r="C119" t="inlineStr">
        <is>
          <t>0                      HV 0245000A  66          2003</t>
        </is>
      </c>
      <c r="D119" t="inlineStr">
        <is>
          <t>Social work and empowerment / Robert Adams.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Adams, Robert, 1944-</t>
        </is>
      </c>
      <c r="L119" t="inlineStr">
        <is>
          <t>Houndmills, Basingstoke, Hampshire ; New York : Palgrave Macmillan, c2003.</t>
        </is>
      </c>
      <c r="M119" t="inlineStr">
        <is>
          <t>2003</t>
        </is>
      </c>
      <c r="N119" t="inlineStr">
        <is>
          <t>3rd ed.</t>
        </is>
      </c>
      <c r="O119" t="inlineStr">
        <is>
          <t>eng</t>
        </is>
      </c>
      <c r="P119" t="inlineStr">
        <is>
          <t>enk</t>
        </is>
      </c>
      <c r="Q119" t="inlineStr">
        <is>
          <t>Practical social work</t>
        </is>
      </c>
      <c r="R119" t="inlineStr">
        <is>
          <t xml:space="preserve">HV </t>
        </is>
      </c>
      <c r="S119" t="n">
        <v>4</v>
      </c>
      <c r="T119" t="n">
        <v>4</v>
      </c>
      <c r="U119" t="inlineStr">
        <is>
          <t>2005-09-20</t>
        </is>
      </c>
      <c r="V119" t="inlineStr">
        <is>
          <t>2005-09-20</t>
        </is>
      </c>
      <c r="W119" t="inlineStr">
        <is>
          <t>2004-01-07</t>
        </is>
      </c>
      <c r="X119" t="inlineStr">
        <is>
          <t>2004-01-07</t>
        </is>
      </c>
      <c r="Y119" t="n">
        <v>201</v>
      </c>
      <c r="Z119" t="n">
        <v>81</v>
      </c>
      <c r="AA119" t="n">
        <v>127</v>
      </c>
      <c r="AB119" t="n">
        <v>1</v>
      </c>
      <c r="AC119" t="n">
        <v>1</v>
      </c>
      <c r="AD119" t="n">
        <v>3</v>
      </c>
      <c r="AE119" t="n">
        <v>4</v>
      </c>
      <c r="AF119" t="n">
        <v>0</v>
      </c>
      <c r="AG119" t="n">
        <v>1</v>
      </c>
      <c r="AH119" t="n">
        <v>1</v>
      </c>
      <c r="AI119" t="n">
        <v>1</v>
      </c>
      <c r="AJ119" t="n">
        <v>3</v>
      </c>
      <c r="AK119" t="n">
        <v>4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HYPERLINK("https://creighton-primo.hosted.exlibrisgroup.com/primo-explore/search?tab=default_tab&amp;search_scope=EVERYTHING&amp;vid=01CRU&amp;lang=en_US&amp;offset=0&amp;query=any,contains,991004190409702656","Catalog Record")</f>
        <v/>
      </c>
      <c r="AT119">
        <f>HYPERLINK("http://www.worldcat.org/oclc/50725169","WorldCat Record")</f>
        <v/>
      </c>
      <c r="AU119" t="inlineStr">
        <is>
          <t>45983872:eng</t>
        </is>
      </c>
      <c r="AV119" t="inlineStr">
        <is>
          <t>50725169</t>
        </is>
      </c>
      <c r="AW119" t="inlineStr">
        <is>
          <t>991004190409702656</t>
        </is>
      </c>
      <c r="AX119" t="inlineStr">
        <is>
          <t>991004190409702656</t>
        </is>
      </c>
      <c r="AY119" t="inlineStr">
        <is>
          <t>2261667040002656</t>
        </is>
      </c>
      <c r="AZ119" t="inlineStr">
        <is>
          <t>BOOK</t>
        </is>
      </c>
      <c r="BB119" t="inlineStr">
        <is>
          <t>9780333693476</t>
        </is>
      </c>
      <c r="BC119" t="inlineStr">
        <is>
          <t>32285004849849</t>
        </is>
      </c>
      <c r="BD119" t="inlineStr">
        <is>
          <t>893343565</t>
        </is>
      </c>
    </row>
    <row r="120">
      <c r="A120" t="inlineStr">
        <is>
          <t>No</t>
        </is>
      </c>
      <c r="B120" t="inlineStr">
        <is>
          <t>HV245 .C27 1988</t>
        </is>
      </c>
      <c r="C120" t="inlineStr">
        <is>
          <t>0                      HV 0245000C  27          1988</t>
        </is>
      </c>
      <c r="D120" t="inlineStr">
        <is>
          <t>Care in the community : the first steps / Judy Renshaw ... [et al.]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Aldershot, Hants, England : Brookfield, Vt., USA : Gower, c1988.</t>
        </is>
      </c>
      <c r="M120" t="inlineStr">
        <is>
          <t>1988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HV </t>
        </is>
      </c>
      <c r="S120" t="n">
        <v>7</v>
      </c>
      <c r="T120" t="n">
        <v>7</v>
      </c>
      <c r="U120" t="inlineStr">
        <is>
          <t>1994-11-05</t>
        </is>
      </c>
      <c r="V120" t="inlineStr">
        <is>
          <t>1994-11-05</t>
        </is>
      </c>
      <c r="W120" t="inlineStr">
        <is>
          <t>1990-01-09</t>
        </is>
      </c>
      <c r="X120" t="inlineStr">
        <is>
          <t>1990-01-09</t>
        </is>
      </c>
      <c r="Y120" t="n">
        <v>141</v>
      </c>
      <c r="Z120" t="n">
        <v>54</v>
      </c>
      <c r="AA120" t="n">
        <v>55</v>
      </c>
      <c r="AB120" t="n">
        <v>1</v>
      </c>
      <c r="AC120" t="n">
        <v>1</v>
      </c>
      <c r="AD120" t="n">
        <v>1</v>
      </c>
      <c r="AE120" t="n">
        <v>1</v>
      </c>
      <c r="AF120" t="n">
        <v>1</v>
      </c>
      <c r="AG120" t="n">
        <v>1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HYPERLINK("http://catalog.hathitrust.org/Record/009135707","HathiTrust Record")</f>
        <v/>
      </c>
      <c r="AS120">
        <f>HYPERLINK("https://creighton-primo.hosted.exlibrisgroup.com/primo-explore/search?tab=default_tab&amp;search_scope=EVERYTHING&amp;vid=01CRU&amp;lang=en_US&amp;offset=0&amp;query=any,contains,991001350229702656","Catalog Record")</f>
        <v/>
      </c>
      <c r="AT120">
        <f>HYPERLINK("http://www.worldcat.org/oclc/18441452","WorldCat Record")</f>
        <v/>
      </c>
      <c r="AU120" t="inlineStr">
        <is>
          <t>836725023:eng</t>
        </is>
      </c>
      <c r="AV120" t="inlineStr">
        <is>
          <t>18441452</t>
        </is>
      </c>
      <c r="AW120" t="inlineStr">
        <is>
          <t>991001350229702656</t>
        </is>
      </c>
      <c r="AX120" t="inlineStr">
        <is>
          <t>991001350229702656</t>
        </is>
      </c>
      <c r="AY120" t="inlineStr">
        <is>
          <t>2269197270002656</t>
        </is>
      </c>
      <c r="AZ120" t="inlineStr">
        <is>
          <t>BOOK</t>
        </is>
      </c>
      <c r="BB120" t="inlineStr">
        <is>
          <t>9780566057373</t>
        </is>
      </c>
      <c r="BC120" t="inlineStr">
        <is>
          <t>32285000026954</t>
        </is>
      </c>
      <c r="BD120" t="inlineStr">
        <is>
          <t>893516137</t>
        </is>
      </c>
    </row>
    <row r="121">
      <c r="A121" t="inlineStr">
        <is>
          <t>No</t>
        </is>
      </c>
      <c r="B121" t="inlineStr">
        <is>
          <t>HV245 .E475 1987</t>
        </is>
      </c>
      <c r="C121" t="inlineStr">
        <is>
          <t>0                      HV 0245000E  475         1987</t>
        </is>
      </c>
      <c r="D121" t="inlineStr">
        <is>
          <t>Social work in a multi-racial society / Peter Ely and David Denney.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Ely, Peter.</t>
        </is>
      </c>
      <c r="L121" t="inlineStr">
        <is>
          <t>Aldershot, Hants, England ; Brookfield, Vt., USA : Gower, c1987.</t>
        </is>
      </c>
      <c r="M121" t="inlineStr">
        <is>
          <t>1986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HV </t>
        </is>
      </c>
      <c r="S121" t="n">
        <v>2</v>
      </c>
      <c r="T121" t="n">
        <v>2</v>
      </c>
      <c r="U121" t="inlineStr">
        <is>
          <t>2001-02-01</t>
        </is>
      </c>
      <c r="V121" t="inlineStr">
        <is>
          <t>2001-02-01</t>
        </is>
      </c>
      <c r="W121" t="inlineStr">
        <is>
          <t>1991-08-09</t>
        </is>
      </c>
      <c r="X121" t="inlineStr">
        <is>
          <t>1991-08-09</t>
        </is>
      </c>
      <c r="Y121" t="n">
        <v>143</v>
      </c>
      <c r="Z121" t="n">
        <v>107</v>
      </c>
      <c r="AA121" t="n">
        <v>135</v>
      </c>
      <c r="AB121" t="n">
        <v>4</v>
      </c>
      <c r="AC121" t="n">
        <v>4</v>
      </c>
      <c r="AD121" t="n">
        <v>8</v>
      </c>
      <c r="AE121" t="n">
        <v>9</v>
      </c>
      <c r="AF121" t="n">
        <v>1</v>
      </c>
      <c r="AG121" t="n">
        <v>1</v>
      </c>
      <c r="AH121" t="n">
        <v>1</v>
      </c>
      <c r="AI121" t="n">
        <v>1</v>
      </c>
      <c r="AJ121" t="n">
        <v>4</v>
      </c>
      <c r="AK121" t="n">
        <v>5</v>
      </c>
      <c r="AL121" t="n">
        <v>3</v>
      </c>
      <c r="AM121" t="n">
        <v>3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HYPERLINK("http://catalog.hathitrust.org/Record/000849493","HathiTrust Record")</f>
        <v/>
      </c>
      <c r="AS121">
        <f>HYPERLINK("https://creighton-primo.hosted.exlibrisgroup.com/primo-explore/search?tab=default_tab&amp;search_scope=EVERYTHING&amp;vid=01CRU&amp;lang=en_US&amp;offset=0&amp;query=any,contains,991000880579702656","Catalog Record")</f>
        <v/>
      </c>
      <c r="AT121">
        <f>HYPERLINK("http://www.worldcat.org/oclc/13823575","WorldCat Record")</f>
        <v/>
      </c>
      <c r="AU121" t="inlineStr">
        <is>
          <t>7357497:eng</t>
        </is>
      </c>
      <c r="AV121" t="inlineStr">
        <is>
          <t>13823575</t>
        </is>
      </c>
      <c r="AW121" t="inlineStr">
        <is>
          <t>991000880579702656</t>
        </is>
      </c>
      <c r="AX121" t="inlineStr">
        <is>
          <t>991000880579702656</t>
        </is>
      </c>
      <c r="AY121" t="inlineStr">
        <is>
          <t>2265512500002656</t>
        </is>
      </c>
      <c r="AZ121" t="inlineStr">
        <is>
          <t>BOOK</t>
        </is>
      </c>
      <c r="BB121" t="inlineStr">
        <is>
          <t>9780566009396</t>
        </is>
      </c>
      <c r="BC121" t="inlineStr">
        <is>
          <t>32285000681196</t>
        </is>
      </c>
      <c r="BD121" t="inlineStr">
        <is>
          <t>893243684</t>
        </is>
      </c>
    </row>
    <row r="122">
      <c r="A122" t="inlineStr">
        <is>
          <t>No</t>
        </is>
      </c>
      <c r="B122" t="inlineStr">
        <is>
          <t>HV245 .G54 1985</t>
        </is>
      </c>
      <c r="C122" t="inlineStr">
        <is>
          <t>0                      HV 0245000G  54          1985</t>
        </is>
      </c>
      <c r="D122" t="inlineStr">
        <is>
          <t>Paying for welfare / Howard Glennerster.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Glennerster, Howard.</t>
        </is>
      </c>
      <c r="L122" t="inlineStr">
        <is>
          <t>Oxford : Blackwell, 1985.</t>
        </is>
      </c>
      <c r="M122" t="inlineStr">
        <is>
          <t>1985</t>
        </is>
      </c>
      <c r="O122" t="inlineStr">
        <is>
          <t>eng</t>
        </is>
      </c>
      <c r="P122" t="inlineStr">
        <is>
          <t>enk</t>
        </is>
      </c>
      <c r="R122" t="inlineStr">
        <is>
          <t xml:space="preserve">HV </t>
        </is>
      </c>
      <c r="S122" t="n">
        <v>3</v>
      </c>
      <c r="T122" t="n">
        <v>3</v>
      </c>
      <c r="U122" t="inlineStr">
        <is>
          <t>2005-04-12</t>
        </is>
      </c>
      <c r="V122" t="inlineStr">
        <is>
          <t>2005-04-12</t>
        </is>
      </c>
      <c r="W122" t="inlineStr">
        <is>
          <t>1993-05-17</t>
        </is>
      </c>
      <c r="X122" t="inlineStr">
        <is>
          <t>1993-05-17</t>
        </is>
      </c>
      <c r="Y122" t="n">
        <v>263</v>
      </c>
      <c r="Z122" t="n">
        <v>128</v>
      </c>
      <c r="AA122" t="n">
        <v>135</v>
      </c>
      <c r="AB122" t="n">
        <v>1</v>
      </c>
      <c r="AC122" t="n">
        <v>1</v>
      </c>
      <c r="AD122" t="n">
        <v>3</v>
      </c>
      <c r="AE122" t="n">
        <v>3</v>
      </c>
      <c r="AF122" t="n">
        <v>0</v>
      </c>
      <c r="AG122" t="n">
        <v>0</v>
      </c>
      <c r="AH122" t="n">
        <v>1</v>
      </c>
      <c r="AI122" t="n">
        <v>1</v>
      </c>
      <c r="AJ122" t="n">
        <v>3</v>
      </c>
      <c r="AK122" t="n">
        <v>3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HYPERLINK("https://creighton-primo.hosted.exlibrisgroup.com/primo-explore/search?tab=default_tab&amp;search_scope=EVERYTHING&amp;vid=01CRU&amp;lang=en_US&amp;offset=0&amp;query=any,contains,991000617009702656","Catalog Record")</f>
        <v/>
      </c>
      <c r="AT122">
        <f>HYPERLINK("http://www.worldcat.org/oclc/13269242","WorldCat Record")</f>
        <v/>
      </c>
      <c r="AU122" t="inlineStr">
        <is>
          <t>961896817:eng</t>
        </is>
      </c>
      <c r="AV122" t="inlineStr">
        <is>
          <t>13269242</t>
        </is>
      </c>
      <c r="AW122" t="inlineStr">
        <is>
          <t>991000617009702656</t>
        </is>
      </c>
      <c r="AX122" t="inlineStr">
        <is>
          <t>991000617009702656</t>
        </is>
      </c>
      <c r="AY122" t="inlineStr">
        <is>
          <t>2260054150002656</t>
        </is>
      </c>
      <c r="AZ122" t="inlineStr">
        <is>
          <t>BOOK</t>
        </is>
      </c>
      <c r="BB122" t="inlineStr">
        <is>
          <t>9780631139720</t>
        </is>
      </c>
      <c r="BC122" t="inlineStr">
        <is>
          <t>32285001681088</t>
        </is>
      </c>
      <c r="BD122" t="inlineStr">
        <is>
          <t>893255572</t>
        </is>
      </c>
    </row>
    <row r="123">
      <c r="A123" t="inlineStr">
        <is>
          <t>No</t>
        </is>
      </c>
      <c r="B123" t="inlineStr">
        <is>
          <t>HV2471 .D47</t>
        </is>
      </c>
      <c r="C123" t="inlineStr">
        <is>
          <t>0                      HV 2471000D  47</t>
        </is>
      </c>
      <c r="D123" t="inlineStr">
        <is>
          <t>The deaf / [by] Louis M. Di Carlo.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Di Carlo, Louis Michael, 1903-</t>
        </is>
      </c>
      <c r="L123" t="inlineStr">
        <is>
          <t>Englewood Cliffs, N.J. : Prentice-Hall, [1964]</t>
        </is>
      </c>
      <c r="M123" t="inlineStr">
        <is>
          <t>1964</t>
        </is>
      </c>
      <c r="O123" t="inlineStr">
        <is>
          <t>eng</t>
        </is>
      </c>
      <c r="P123" t="inlineStr">
        <is>
          <t>nju</t>
        </is>
      </c>
      <c r="Q123" t="inlineStr">
        <is>
          <t>Foundations of speech pathology series</t>
        </is>
      </c>
      <c r="R123" t="inlineStr">
        <is>
          <t xml:space="preserve">HV </t>
        </is>
      </c>
      <c r="S123" t="n">
        <v>5</v>
      </c>
      <c r="T123" t="n">
        <v>5</v>
      </c>
      <c r="U123" t="inlineStr">
        <is>
          <t>2000-09-19</t>
        </is>
      </c>
      <c r="V123" t="inlineStr">
        <is>
          <t>2000-09-19</t>
        </is>
      </c>
      <c r="W123" t="inlineStr">
        <is>
          <t>1991-12-09</t>
        </is>
      </c>
      <c r="X123" t="inlineStr">
        <is>
          <t>1991-12-09</t>
        </is>
      </c>
      <c r="Y123" t="n">
        <v>601</v>
      </c>
      <c r="Z123" t="n">
        <v>532</v>
      </c>
      <c r="AA123" t="n">
        <v>534</v>
      </c>
      <c r="AB123" t="n">
        <v>7</v>
      </c>
      <c r="AC123" t="n">
        <v>7</v>
      </c>
      <c r="AD123" t="n">
        <v>25</v>
      </c>
      <c r="AE123" t="n">
        <v>25</v>
      </c>
      <c r="AF123" t="n">
        <v>11</v>
      </c>
      <c r="AG123" t="n">
        <v>11</v>
      </c>
      <c r="AH123" t="n">
        <v>4</v>
      </c>
      <c r="AI123" t="n">
        <v>4</v>
      </c>
      <c r="AJ123" t="n">
        <v>11</v>
      </c>
      <c r="AK123" t="n">
        <v>11</v>
      </c>
      <c r="AL123" t="n">
        <v>5</v>
      </c>
      <c r="AM123" t="n">
        <v>5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HYPERLINK("http://catalog.hathitrust.org/Record/001120091","HathiTrust Record")</f>
        <v/>
      </c>
      <c r="AS123">
        <f>HYPERLINK("https://creighton-primo.hosted.exlibrisgroup.com/primo-explore/search?tab=default_tab&amp;search_scope=EVERYTHING&amp;vid=01CRU&amp;lang=en_US&amp;offset=0&amp;query=any,contains,991005253269702656","Catalog Record")</f>
        <v/>
      </c>
      <c r="AT123">
        <f>HYPERLINK("http://www.worldcat.org/oclc/174158","WorldCat Record")</f>
        <v/>
      </c>
      <c r="AU123" t="inlineStr">
        <is>
          <t>309125410:eng</t>
        </is>
      </c>
      <c r="AV123" t="inlineStr">
        <is>
          <t>174158</t>
        </is>
      </c>
      <c r="AW123" t="inlineStr">
        <is>
          <t>991005253269702656</t>
        </is>
      </c>
      <c r="AX123" t="inlineStr">
        <is>
          <t>991005253269702656</t>
        </is>
      </c>
      <c r="AY123" t="inlineStr">
        <is>
          <t>2266516220002656</t>
        </is>
      </c>
      <c r="AZ123" t="inlineStr">
        <is>
          <t>BOOK</t>
        </is>
      </c>
      <c r="BC123" t="inlineStr">
        <is>
          <t>32285000848332</t>
        </is>
      </c>
      <c r="BD123" t="inlineStr">
        <is>
          <t>893789684</t>
        </is>
      </c>
    </row>
    <row r="124">
      <c r="A124" t="inlineStr">
        <is>
          <t>No</t>
        </is>
      </c>
      <c r="B124" t="inlineStr">
        <is>
          <t>HV2471 .L68</t>
        </is>
      </c>
      <c r="C124" t="inlineStr">
        <is>
          <t>0                      HV 2471000L  68</t>
        </is>
      </c>
      <c r="D124" t="inlineStr">
        <is>
          <t>Teaching the hearing impaired through total communication / Sheila Lowenbraun, Karen I. Appelman, Judy Lee Callahan.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Lowenbraun, Sheila.</t>
        </is>
      </c>
      <c r="L124" t="inlineStr">
        <is>
          <t>Columbus : Merrill, c1980.</t>
        </is>
      </c>
      <c r="M124" t="inlineStr">
        <is>
          <t>1980</t>
        </is>
      </c>
      <c r="O124" t="inlineStr">
        <is>
          <t>eng</t>
        </is>
      </c>
      <c r="P124" t="inlineStr">
        <is>
          <t>ohu</t>
        </is>
      </c>
      <c r="R124" t="inlineStr">
        <is>
          <t xml:space="preserve">HV </t>
        </is>
      </c>
      <c r="S124" t="n">
        <v>2</v>
      </c>
      <c r="T124" t="n">
        <v>2</v>
      </c>
      <c r="U124" t="inlineStr">
        <is>
          <t>2006-05-30</t>
        </is>
      </c>
      <c r="V124" t="inlineStr">
        <is>
          <t>2006-05-30</t>
        </is>
      </c>
      <c r="W124" t="inlineStr">
        <is>
          <t>1991-12-12</t>
        </is>
      </c>
      <c r="X124" t="inlineStr">
        <is>
          <t>1991-12-12</t>
        </is>
      </c>
      <c r="Y124" t="n">
        <v>256</v>
      </c>
      <c r="Z124" t="n">
        <v>209</v>
      </c>
      <c r="AA124" t="n">
        <v>209</v>
      </c>
      <c r="AB124" t="n">
        <v>1</v>
      </c>
      <c r="AC124" t="n">
        <v>1</v>
      </c>
      <c r="AD124" t="n">
        <v>4</v>
      </c>
      <c r="AE124" t="n">
        <v>4</v>
      </c>
      <c r="AF124" t="n">
        <v>3</v>
      </c>
      <c r="AG124" t="n">
        <v>3</v>
      </c>
      <c r="AH124" t="n">
        <v>0</v>
      </c>
      <c r="AI124" t="n">
        <v>0</v>
      </c>
      <c r="AJ124" t="n">
        <v>1</v>
      </c>
      <c r="AK124" t="n">
        <v>1</v>
      </c>
      <c r="AL124" t="n">
        <v>0</v>
      </c>
      <c r="AM124" t="n">
        <v>0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HYPERLINK("https://creighton-primo.hosted.exlibrisgroup.com/primo-explore/search?tab=default_tab&amp;search_scope=EVERYTHING&amp;vid=01CRU&amp;lang=en_US&amp;offset=0&amp;query=any,contains,991004972619702656","Catalog Record")</f>
        <v/>
      </c>
      <c r="AT124">
        <f>HYPERLINK("http://www.worldcat.org/oclc/6372605","WorldCat Record")</f>
        <v/>
      </c>
      <c r="AU124" t="inlineStr">
        <is>
          <t>2533312485:eng</t>
        </is>
      </c>
      <c r="AV124" t="inlineStr">
        <is>
          <t>6372605</t>
        </is>
      </c>
      <c r="AW124" t="inlineStr">
        <is>
          <t>991004972619702656</t>
        </is>
      </c>
      <c r="AX124" t="inlineStr">
        <is>
          <t>991004972619702656</t>
        </is>
      </c>
      <c r="AY124" t="inlineStr">
        <is>
          <t>2267756030002656</t>
        </is>
      </c>
      <c r="AZ124" t="inlineStr">
        <is>
          <t>BOOK</t>
        </is>
      </c>
      <c r="BB124" t="inlineStr">
        <is>
          <t>9780675081993</t>
        </is>
      </c>
      <c r="BC124" t="inlineStr">
        <is>
          <t>32285000887330</t>
        </is>
      </c>
      <c r="BD124" t="inlineStr">
        <is>
          <t>893344467</t>
        </is>
      </c>
    </row>
    <row r="125">
      <c r="A125" t="inlineStr">
        <is>
          <t>No</t>
        </is>
      </c>
      <c r="B125" t="inlineStr">
        <is>
          <t>HV2471 .P38 2000</t>
        </is>
      </c>
      <c r="C125" t="inlineStr">
        <is>
          <t>0                      HV 2471000P  38          2000</t>
        </is>
      </c>
      <c r="D125" t="inlineStr">
        <is>
          <t>Deaf American literature : from carnival to the canon / Cynthia Peters.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Peters, Cynthia.</t>
        </is>
      </c>
      <c r="L125" t="inlineStr">
        <is>
          <t>Washington, D.C. : Gallaudet University Press, 2000.</t>
        </is>
      </c>
      <c r="M125" t="inlineStr">
        <is>
          <t>2000</t>
        </is>
      </c>
      <c r="O125" t="inlineStr">
        <is>
          <t>eng</t>
        </is>
      </c>
      <c r="P125" t="inlineStr">
        <is>
          <t>dcu</t>
        </is>
      </c>
      <c r="R125" t="inlineStr">
        <is>
          <t xml:space="preserve">HV </t>
        </is>
      </c>
      <c r="S125" t="n">
        <v>3</v>
      </c>
      <c r="T125" t="n">
        <v>3</v>
      </c>
      <c r="U125" t="inlineStr">
        <is>
          <t>2009-12-04</t>
        </is>
      </c>
      <c r="V125" t="inlineStr">
        <is>
          <t>2009-12-04</t>
        </is>
      </c>
      <c r="W125" t="inlineStr">
        <is>
          <t>2002-05-01</t>
        </is>
      </c>
      <c r="X125" t="inlineStr">
        <is>
          <t>2002-05-01</t>
        </is>
      </c>
      <c r="Y125" t="n">
        <v>512</v>
      </c>
      <c r="Z125" t="n">
        <v>481</v>
      </c>
      <c r="AA125" t="n">
        <v>812</v>
      </c>
      <c r="AB125" t="n">
        <v>4</v>
      </c>
      <c r="AC125" t="n">
        <v>32</v>
      </c>
      <c r="AD125" t="n">
        <v>20</v>
      </c>
      <c r="AE125" t="n">
        <v>34</v>
      </c>
      <c r="AF125" t="n">
        <v>8</v>
      </c>
      <c r="AG125" t="n">
        <v>11</v>
      </c>
      <c r="AH125" t="n">
        <v>5</v>
      </c>
      <c r="AI125" t="n">
        <v>6</v>
      </c>
      <c r="AJ125" t="n">
        <v>10</v>
      </c>
      <c r="AK125" t="n">
        <v>11</v>
      </c>
      <c r="AL125" t="n">
        <v>3</v>
      </c>
      <c r="AM125" t="n">
        <v>13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HYPERLINK("https://creighton-primo.hosted.exlibrisgroup.com/primo-explore/search?tab=default_tab&amp;search_scope=EVERYTHING&amp;vid=01CRU&amp;lang=en_US&amp;offset=0&amp;query=any,contains,991003784749702656","Catalog Record")</f>
        <v/>
      </c>
      <c r="AT125">
        <f>HYPERLINK("http://www.worldcat.org/oclc/44046710","WorldCat Record")</f>
        <v/>
      </c>
      <c r="AU125" t="inlineStr">
        <is>
          <t>801288331:eng</t>
        </is>
      </c>
      <c r="AV125" t="inlineStr">
        <is>
          <t>44046710</t>
        </is>
      </c>
      <c r="AW125" t="inlineStr">
        <is>
          <t>991003784749702656</t>
        </is>
      </c>
      <c r="AX125" t="inlineStr">
        <is>
          <t>991003784749702656</t>
        </is>
      </c>
      <c r="AY125" t="inlineStr">
        <is>
          <t>2260514460002656</t>
        </is>
      </c>
      <c r="AZ125" t="inlineStr">
        <is>
          <t>BOOK</t>
        </is>
      </c>
      <c r="BB125" t="inlineStr">
        <is>
          <t>9781563680946</t>
        </is>
      </c>
      <c r="BC125" t="inlineStr">
        <is>
          <t>32285004484977</t>
        </is>
      </c>
      <c r="BD125" t="inlineStr">
        <is>
          <t>893711800</t>
        </is>
      </c>
    </row>
    <row r="126">
      <c r="A126" t="inlineStr">
        <is>
          <t>No</t>
        </is>
      </c>
      <c r="B126" t="inlineStr">
        <is>
          <t>HV2471 .W56 1987</t>
        </is>
      </c>
      <c r="C126" t="inlineStr">
        <is>
          <t>0                      HV 2471000W  56          1987</t>
        </is>
      </c>
      <c r="D126" t="inlineStr">
        <is>
          <t>Never the twain shall meet : Bell, Gallaudet, and the communications debate / Richard Winefield.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Winefield, Richard, 1949-</t>
        </is>
      </c>
      <c r="L126" t="inlineStr">
        <is>
          <t>Washington, D.C. : Gallaudet University Press, 1987.</t>
        </is>
      </c>
      <c r="M126" t="inlineStr">
        <is>
          <t>1987</t>
        </is>
      </c>
      <c r="O126" t="inlineStr">
        <is>
          <t>eng</t>
        </is>
      </c>
      <c r="P126" t="inlineStr">
        <is>
          <t>dcu</t>
        </is>
      </c>
      <c r="R126" t="inlineStr">
        <is>
          <t xml:space="preserve">HV </t>
        </is>
      </c>
      <c r="S126" t="n">
        <v>6</v>
      </c>
      <c r="T126" t="n">
        <v>6</v>
      </c>
      <c r="U126" t="inlineStr">
        <is>
          <t>2002-11-25</t>
        </is>
      </c>
      <c r="V126" t="inlineStr">
        <is>
          <t>2002-11-25</t>
        </is>
      </c>
      <c r="W126" t="inlineStr">
        <is>
          <t>1990-02-20</t>
        </is>
      </c>
      <c r="X126" t="inlineStr">
        <is>
          <t>1990-02-20</t>
        </is>
      </c>
      <c r="Y126" t="n">
        <v>837</v>
      </c>
      <c r="Z126" t="n">
        <v>764</v>
      </c>
      <c r="AA126" t="n">
        <v>880</v>
      </c>
      <c r="AB126" t="n">
        <v>8</v>
      </c>
      <c r="AC126" t="n">
        <v>8</v>
      </c>
      <c r="AD126" t="n">
        <v>22</v>
      </c>
      <c r="AE126" t="n">
        <v>27</v>
      </c>
      <c r="AF126" t="n">
        <v>10</v>
      </c>
      <c r="AG126" t="n">
        <v>14</v>
      </c>
      <c r="AH126" t="n">
        <v>2</v>
      </c>
      <c r="AI126" t="n">
        <v>4</v>
      </c>
      <c r="AJ126" t="n">
        <v>10</v>
      </c>
      <c r="AK126" t="n">
        <v>12</v>
      </c>
      <c r="AL126" t="n">
        <v>6</v>
      </c>
      <c r="AM126" t="n">
        <v>6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HYPERLINK("https://creighton-primo.hosted.exlibrisgroup.com/primo-explore/search?tab=default_tab&amp;search_scope=EVERYTHING&amp;vid=01CRU&amp;lang=en_US&amp;offset=0&amp;query=any,contains,991001055589702656","Catalog Record")</f>
        <v/>
      </c>
      <c r="AT126">
        <f>HYPERLINK("http://www.worldcat.org/oclc/15695894","WorldCat Record")</f>
        <v/>
      </c>
      <c r="AU126" t="inlineStr">
        <is>
          <t>1049800:eng</t>
        </is>
      </c>
      <c r="AV126" t="inlineStr">
        <is>
          <t>15695894</t>
        </is>
      </c>
      <c r="AW126" t="inlineStr">
        <is>
          <t>991001055589702656</t>
        </is>
      </c>
      <c r="AX126" t="inlineStr">
        <is>
          <t>991001055589702656</t>
        </is>
      </c>
      <c r="AY126" t="inlineStr">
        <is>
          <t>2263873900002656</t>
        </is>
      </c>
      <c r="AZ126" t="inlineStr">
        <is>
          <t>BOOK</t>
        </is>
      </c>
      <c r="BB126" t="inlineStr">
        <is>
          <t>9780913580998</t>
        </is>
      </c>
      <c r="BC126" t="inlineStr">
        <is>
          <t>32285000056423</t>
        </is>
      </c>
      <c r="BD126" t="inlineStr">
        <is>
          <t>893696425</t>
        </is>
      </c>
    </row>
    <row r="127">
      <c r="A127" t="inlineStr">
        <is>
          <t>No</t>
        </is>
      </c>
      <c r="B127" t="inlineStr">
        <is>
          <t>HV2474 .H47 1923</t>
        </is>
      </c>
      <c r="C127" t="inlineStr">
        <is>
          <t>0                      HV 2474000H  47          1923</t>
        </is>
      </c>
      <c r="D127" t="inlineStr">
        <is>
          <t>How to talk to the deaf.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Higgins, D. D. (Daniel D.), 1876-</t>
        </is>
      </c>
      <c r="L127" t="inlineStr">
        <is>
          <t>St. Louis : D. D. Higgins, 1923.</t>
        </is>
      </c>
      <c r="M127" t="inlineStr">
        <is>
          <t>1923</t>
        </is>
      </c>
      <c r="O127" t="inlineStr">
        <is>
          <t>eng</t>
        </is>
      </c>
      <c r="P127" t="inlineStr">
        <is>
          <t>mou</t>
        </is>
      </c>
      <c r="R127" t="inlineStr">
        <is>
          <t xml:space="preserve">HV </t>
        </is>
      </c>
      <c r="S127" t="n">
        <v>18</v>
      </c>
      <c r="T127" t="n">
        <v>18</v>
      </c>
      <c r="U127" t="inlineStr">
        <is>
          <t>1999-06-07</t>
        </is>
      </c>
      <c r="V127" t="inlineStr">
        <is>
          <t>1999-06-07</t>
        </is>
      </c>
      <c r="W127" t="inlineStr">
        <is>
          <t>1990-09-06</t>
        </is>
      </c>
      <c r="X127" t="inlineStr">
        <is>
          <t>1990-09-06</t>
        </is>
      </c>
      <c r="Y127" t="n">
        <v>25</v>
      </c>
      <c r="Z127" t="n">
        <v>23</v>
      </c>
      <c r="AA127" t="n">
        <v>23</v>
      </c>
      <c r="AB127" t="n">
        <v>1</v>
      </c>
      <c r="AC127" t="n">
        <v>1</v>
      </c>
      <c r="AD127" t="n">
        <v>4</v>
      </c>
      <c r="AE127" t="n">
        <v>4</v>
      </c>
      <c r="AF127" t="n">
        <v>1</v>
      </c>
      <c r="AG127" t="n">
        <v>1</v>
      </c>
      <c r="AH127" t="n">
        <v>1</v>
      </c>
      <c r="AI127" t="n">
        <v>1</v>
      </c>
      <c r="AJ127" t="n">
        <v>2</v>
      </c>
      <c r="AK127" t="n">
        <v>2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HYPERLINK("https://creighton-primo.hosted.exlibrisgroup.com/primo-explore/search?tab=default_tab&amp;search_scope=EVERYTHING&amp;vid=01CRU&amp;lang=en_US&amp;offset=0&amp;query=any,contains,991004577309702656","Catalog Record")</f>
        <v/>
      </c>
      <c r="AT127">
        <f>HYPERLINK("http://www.worldcat.org/oclc/4048304","WorldCat Record")</f>
        <v/>
      </c>
      <c r="AU127" t="inlineStr">
        <is>
          <t>3855766105:eng</t>
        </is>
      </c>
      <c r="AV127" t="inlineStr">
        <is>
          <t>4048304</t>
        </is>
      </c>
      <c r="AW127" t="inlineStr">
        <is>
          <t>991004577309702656</t>
        </is>
      </c>
      <c r="AX127" t="inlineStr">
        <is>
          <t>991004577309702656</t>
        </is>
      </c>
      <c r="AY127" t="inlineStr">
        <is>
          <t>2256382550002656</t>
        </is>
      </c>
      <c r="AZ127" t="inlineStr">
        <is>
          <t>BOOK</t>
        </is>
      </c>
      <c r="BC127" t="inlineStr">
        <is>
          <t>32285000300805</t>
        </is>
      </c>
      <c r="BD127" t="inlineStr">
        <is>
          <t>893706581</t>
        </is>
      </c>
    </row>
    <row r="128">
      <c r="A128" t="inlineStr">
        <is>
          <t>No</t>
        </is>
      </c>
      <c r="B128" t="inlineStr">
        <is>
          <t>HV2474 .H64</t>
        </is>
      </c>
      <c r="C128" t="inlineStr">
        <is>
          <t>0                      HV 2474000H  64</t>
        </is>
      </c>
      <c r="D128" t="inlineStr">
        <is>
          <t>Communicating with deaf people : a resource manual for teachers and students of American sign language / by Harry W. Hoemann ; with ill. by Shirley A. Hoemann.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Hoemann, Harry W.</t>
        </is>
      </c>
      <c r="L128" t="inlineStr">
        <is>
          <t>Baltimore : University Park Press, c1978.</t>
        </is>
      </c>
      <c r="M128" t="inlineStr">
        <is>
          <t>1978</t>
        </is>
      </c>
      <c r="O128" t="inlineStr">
        <is>
          <t>eng</t>
        </is>
      </c>
      <c r="P128" t="inlineStr">
        <is>
          <t>mdu</t>
        </is>
      </c>
      <c r="Q128" t="inlineStr">
        <is>
          <t>Perspectives in audiology series</t>
        </is>
      </c>
      <c r="R128" t="inlineStr">
        <is>
          <t xml:space="preserve">HV </t>
        </is>
      </c>
      <c r="S128" t="n">
        <v>7</v>
      </c>
      <c r="T128" t="n">
        <v>7</v>
      </c>
      <c r="U128" t="inlineStr">
        <is>
          <t>2004-09-23</t>
        </is>
      </c>
      <c r="V128" t="inlineStr">
        <is>
          <t>2004-09-23</t>
        </is>
      </c>
      <c r="W128" t="inlineStr">
        <is>
          <t>1992-12-01</t>
        </is>
      </c>
      <c r="X128" t="inlineStr">
        <is>
          <t>1992-12-01</t>
        </is>
      </c>
      <c r="Y128" t="n">
        <v>606</v>
      </c>
      <c r="Z128" t="n">
        <v>543</v>
      </c>
      <c r="AA128" t="n">
        <v>545</v>
      </c>
      <c r="AB128" t="n">
        <v>3</v>
      </c>
      <c r="AC128" t="n">
        <v>3</v>
      </c>
      <c r="AD128" t="n">
        <v>16</v>
      </c>
      <c r="AE128" t="n">
        <v>16</v>
      </c>
      <c r="AF128" t="n">
        <v>7</v>
      </c>
      <c r="AG128" t="n">
        <v>7</v>
      </c>
      <c r="AH128" t="n">
        <v>4</v>
      </c>
      <c r="AI128" t="n">
        <v>4</v>
      </c>
      <c r="AJ128" t="n">
        <v>8</v>
      </c>
      <c r="AK128" t="n">
        <v>8</v>
      </c>
      <c r="AL128" t="n">
        <v>1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HYPERLINK("http://catalog.hathitrust.org/Record/000176543","HathiTrust Record")</f>
        <v/>
      </c>
      <c r="AS128">
        <f>HYPERLINK("https://creighton-primo.hosted.exlibrisgroup.com/primo-explore/search?tab=default_tab&amp;search_scope=EVERYTHING&amp;vid=01CRU&amp;lang=en_US&amp;offset=0&amp;query=any,contains,991004563669702656","Catalog Record")</f>
        <v/>
      </c>
      <c r="AT128">
        <f>HYPERLINK("http://www.worldcat.org/oclc/4003991","WorldCat Record")</f>
        <v/>
      </c>
      <c r="AU128" t="inlineStr">
        <is>
          <t>364895305:eng</t>
        </is>
      </c>
      <c r="AV128" t="inlineStr">
        <is>
          <t>4003991</t>
        </is>
      </c>
      <c r="AW128" t="inlineStr">
        <is>
          <t>991004563669702656</t>
        </is>
      </c>
      <c r="AX128" t="inlineStr">
        <is>
          <t>991004563669702656</t>
        </is>
      </c>
      <c r="AY128" t="inlineStr">
        <is>
          <t>2267731950002656</t>
        </is>
      </c>
      <c r="AZ128" t="inlineStr">
        <is>
          <t>BOOK</t>
        </is>
      </c>
      <c r="BB128" t="inlineStr">
        <is>
          <t>9780839112594</t>
        </is>
      </c>
      <c r="BC128" t="inlineStr">
        <is>
          <t>32285001410637</t>
        </is>
      </c>
      <c r="BD128" t="inlineStr">
        <is>
          <t>893513398</t>
        </is>
      </c>
    </row>
    <row r="129">
      <c r="A129" t="inlineStr">
        <is>
          <t>No</t>
        </is>
      </c>
      <c r="B129" t="inlineStr">
        <is>
          <t>HV2474 .K53</t>
        </is>
      </c>
      <c r="C129" t="inlineStr">
        <is>
          <t>0                      HV 2474000K  53</t>
        </is>
      </c>
      <c r="D129" t="inlineStr">
        <is>
          <t>The signs of language / Edward S. Klima, Ursula Bellugi, with Robbin Battison .. [et al.].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Klima, Edward S., 1931-2008.</t>
        </is>
      </c>
      <c r="L129" t="inlineStr">
        <is>
          <t>Cambridge, Mass. : Harvard University Press, 1979.</t>
        </is>
      </c>
      <c r="M129" t="inlineStr">
        <is>
          <t>1979</t>
        </is>
      </c>
      <c r="O129" t="inlineStr">
        <is>
          <t>eng</t>
        </is>
      </c>
      <c r="P129" t="inlineStr">
        <is>
          <t>mau</t>
        </is>
      </c>
      <c r="R129" t="inlineStr">
        <is>
          <t xml:space="preserve">HV </t>
        </is>
      </c>
      <c r="S129" t="n">
        <v>11</v>
      </c>
      <c r="T129" t="n">
        <v>11</v>
      </c>
      <c r="U129" t="inlineStr">
        <is>
          <t>2005-04-10</t>
        </is>
      </c>
      <c r="V129" t="inlineStr">
        <is>
          <t>2005-04-10</t>
        </is>
      </c>
      <c r="W129" t="inlineStr">
        <is>
          <t>1992-06-29</t>
        </is>
      </c>
      <c r="X129" t="inlineStr">
        <is>
          <t>1992-06-29</t>
        </is>
      </c>
      <c r="Y129" t="n">
        <v>979</v>
      </c>
      <c r="Z129" t="n">
        <v>809</v>
      </c>
      <c r="AA129" t="n">
        <v>818</v>
      </c>
      <c r="AB129" t="n">
        <v>6</v>
      </c>
      <c r="AC129" t="n">
        <v>6</v>
      </c>
      <c r="AD129" t="n">
        <v>25</v>
      </c>
      <c r="AE129" t="n">
        <v>25</v>
      </c>
      <c r="AF129" t="n">
        <v>7</v>
      </c>
      <c r="AG129" t="n">
        <v>7</v>
      </c>
      <c r="AH129" t="n">
        <v>7</v>
      </c>
      <c r="AI129" t="n">
        <v>7</v>
      </c>
      <c r="AJ129" t="n">
        <v>13</v>
      </c>
      <c r="AK129" t="n">
        <v>13</v>
      </c>
      <c r="AL129" t="n">
        <v>3</v>
      </c>
      <c r="AM129" t="n">
        <v>3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HYPERLINK("https://creighton-primo.hosted.exlibrisgroup.com/primo-explore/search?tab=default_tab&amp;search_scope=EVERYTHING&amp;vid=01CRU&amp;lang=en_US&amp;offset=0&amp;query=any,contains,991004681319702656","Catalog Record")</f>
        <v/>
      </c>
      <c r="AT129">
        <f>HYPERLINK("http://www.worldcat.org/oclc/4569939","WorldCat Record")</f>
        <v/>
      </c>
      <c r="AU129" t="inlineStr">
        <is>
          <t>14844058:eng</t>
        </is>
      </c>
      <c r="AV129" t="inlineStr">
        <is>
          <t>4569939</t>
        </is>
      </c>
      <c r="AW129" t="inlineStr">
        <is>
          <t>991004681319702656</t>
        </is>
      </c>
      <c r="AX129" t="inlineStr">
        <is>
          <t>991004681319702656</t>
        </is>
      </c>
      <c r="AY129" t="inlineStr">
        <is>
          <t>2256890070002656</t>
        </is>
      </c>
      <c r="AZ129" t="inlineStr">
        <is>
          <t>BOOK</t>
        </is>
      </c>
      <c r="BB129" t="inlineStr">
        <is>
          <t>9780674807952</t>
        </is>
      </c>
      <c r="BC129" t="inlineStr">
        <is>
          <t>32285001180636</t>
        </is>
      </c>
      <c r="BD129" t="inlineStr">
        <is>
          <t>893235811</t>
        </is>
      </c>
    </row>
    <row r="130">
      <c r="A130" t="inlineStr">
        <is>
          <t>No</t>
        </is>
      </c>
      <c r="B130" t="inlineStr">
        <is>
          <t>HV2474 .S35</t>
        </is>
      </c>
      <c r="C130" t="inlineStr">
        <is>
          <t>0                      HV 2474000S  35</t>
        </is>
      </c>
      <c r="D130" t="inlineStr">
        <is>
          <t>Total communication : a signed speech program for nonverbal children / Benson Schaeffer, Arlene Musil, George Kollinzas.</t>
        </is>
      </c>
      <c r="F130" t="inlineStr">
        <is>
          <t>No</t>
        </is>
      </c>
      <c r="G130" t="inlineStr">
        <is>
          <t>1</t>
        </is>
      </c>
      <c r="H130" t="inlineStr">
        <is>
          <t>Yes</t>
        </is>
      </c>
      <c r="I130" t="inlineStr">
        <is>
          <t>No</t>
        </is>
      </c>
      <c r="J130" t="inlineStr">
        <is>
          <t>0</t>
        </is>
      </c>
      <c r="K130" t="inlineStr">
        <is>
          <t>Schaeffer, Benson.</t>
        </is>
      </c>
      <c r="L130" t="inlineStr">
        <is>
          <t>Champaign, Ill. : Research Press, c1980.</t>
        </is>
      </c>
      <c r="M130" t="inlineStr">
        <is>
          <t>1980</t>
        </is>
      </c>
      <c r="O130" t="inlineStr">
        <is>
          <t>eng</t>
        </is>
      </c>
      <c r="P130" t="inlineStr">
        <is>
          <t>ilu</t>
        </is>
      </c>
      <c r="R130" t="inlineStr">
        <is>
          <t xml:space="preserve">HV </t>
        </is>
      </c>
      <c r="S130" t="n">
        <v>12</v>
      </c>
      <c r="T130" t="n">
        <v>12</v>
      </c>
      <c r="U130" t="inlineStr">
        <is>
          <t>2002-11-25</t>
        </is>
      </c>
      <c r="V130" t="inlineStr">
        <is>
          <t>2002-11-25</t>
        </is>
      </c>
      <c r="W130" t="inlineStr">
        <is>
          <t>1992-01-23</t>
        </is>
      </c>
      <c r="X130" t="inlineStr">
        <is>
          <t>1992-01-23</t>
        </is>
      </c>
      <c r="Y130" t="n">
        <v>224</v>
      </c>
      <c r="Z130" t="n">
        <v>193</v>
      </c>
      <c r="AA130" t="n">
        <v>193</v>
      </c>
      <c r="AB130" t="n">
        <v>3</v>
      </c>
      <c r="AC130" t="n">
        <v>3</v>
      </c>
      <c r="AD130" t="n">
        <v>4</v>
      </c>
      <c r="AE130" t="n">
        <v>4</v>
      </c>
      <c r="AF130" t="n">
        <v>3</v>
      </c>
      <c r="AG130" t="n">
        <v>3</v>
      </c>
      <c r="AH130" t="n">
        <v>0</v>
      </c>
      <c r="AI130" t="n">
        <v>0</v>
      </c>
      <c r="AJ130" t="n">
        <v>1</v>
      </c>
      <c r="AK130" t="n">
        <v>1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HYPERLINK("https://creighton-primo.hosted.exlibrisgroup.com/primo-explore/search?tab=default_tab&amp;search_scope=EVERYTHING&amp;vid=01CRU&amp;lang=en_US&amp;offset=0&amp;query=any,contains,991001772629702656","Catalog Record")</f>
        <v/>
      </c>
      <c r="AT130">
        <f>HYPERLINK("http://www.worldcat.org/oclc/7251604","WorldCat Record")</f>
        <v/>
      </c>
      <c r="AU130" t="inlineStr">
        <is>
          <t>292459916:eng</t>
        </is>
      </c>
      <c r="AV130" t="inlineStr">
        <is>
          <t>7251604</t>
        </is>
      </c>
      <c r="AW130" t="inlineStr">
        <is>
          <t>991001772629702656</t>
        </is>
      </c>
      <c r="AX130" t="inlineStr">
        <is>
          <t>991001772629702656</t>
        </is>
      </c>
      <c r="AY130" t="inlineStr">
        <is>
          <t>2255775500002656</t>
        </is>
      </c>
      <c r="AZ130" t="inlineStr">
        <is>
          <t>BOOK</t>
        </is>
      </c>
      <c r="BB130" t="inlineStr">
        <is>
          <t>9780878222186</t>
        </is>
      </c>
      <c r="BC130" t="inlineStr">
        <is>
          <t>32285000917541</t>
        </is>
      </c>
      <c r="BD130" t="inlineStr">
        <is>
          <t>893621602</t>
        </is>
      </c>
    </row>
    <row r="131">
      <c r="A131" t="inlineStr">
        <is>
          <t>No</t>
        </is>
      </c>
      <c r="B131" t="inlineStr">
        <is>
          <t>HV2474 .S54</t>
        </is>
      </c>
      <c r="C131" t="inlineStr">
        <is>
          <t>0                      HV 2474000S  54</t>
        </is>
      </c>
      <c r="D131" t="inlineStr">
        <is>
          <t>Sign language and language acquisition in man and ape : new dimensions in comparative pedolinguistics / edited by Fred C. C. Peng, editor.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Boulder Colo. : Published by Westview Press for the American Association for the Advancement of Science, [1978]</t>
        </is>
      </c>
      <c r="M131" t="inlineStr">
        <is>
          <t>1978</t>
        </is>
      </c>
      <c r="O131" t="inlineStr">
        <is>
          <t>eng</t>
        </is>
      </c>
      <c r="P131" t="inlineStr">
        <is>
          <t>cou</t>
        </is>
      </c>
      <c r="Q131" t="inlineStr">
        <is>
          <t>AAAS selected symposium ; 16</t>
        </is>
      </c>
      <c r="R131" t="inlineStr">
        <is>
          <t xml:space="preserve">HV </t>
        </is>
      </c>
      <c r="S131" t="n">
        <v>16</v>
      </c>
      <c r="T131" t="n">
        <v>16</v>
      </c>
      <c r="U131" t="inlineStr">
        <is>
          <t>2007-02-23</t>
        </is>
      </c>
      <c r="V131" t="inlineStr">
        <is>
          <t>2007-02-23</t>
        </is>
      </c>
      <c r="W131" t="inlineStr">
        <is>
          <t>1992-05-04</t>
        </is>
      </c>
      <c r="X131" t="inlineStr">
        <is>
          <t>1992-05-04</t>
        </is>
      </c>
      <c r="Y131" t="n">
        <v>364</v>
      </c>
      <c r="Z131" t="n">
        <v>290</v>
      </c>
      <c r="AA131" t="n">
        <v>314</v>
      </c>
      <c r="AB131" t="n">
        <v>3</v>
      </c>
      <c r="AC131" t="n">
        <v>3</v>
      </c>
      <c r="AD131" t="n">
        <v>12</v>
      </c>
      <c r="AE131" t="n">
        <v>12</v>
      </c>
      <c r="AF131" t="n">
        <v>3</v>
      </c>
      <c r="AG131" t="n">
        <v>3</v>
      </c>
      <c r="AH131" t="n">
        <v>4</v>
      </c>
      <c r="AI131" t="n">
        <v>4</v>
      </c>
      <c r="AJ131" t="n">
        <v>7</v>
      </c>
      <c r="AK131" t="n">
        <v>7</v>
      </c>
      <c r="AL131" t="n">
        <v>2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HYPERLINK("https://creighton-primo.hosted.exlibrisgroup.com/primo-explore/search?tab=default_tab&amp;search_scope=EVERYTHING&amp;vid=01CRU&amp;lang=en_US&amp;offset=0&amp;query=any,contains,991004592239702656","Catalog Record")</f>
        <v/>
      </c>
      <c r="AT131">
        <f>HYPERLINK("http://www.worldcat.org/oclc/4135117","WorldCat Record")</f>
        <v/>
      </c>
      <c r="AU131" t="inlineStr">
        <is>
          <t>909683144:eng</t>
        </is>
      </c>
      <c r="AV131" t="inlineStr">
        <is>
          <t>4135117</t>
        </is>
      </c>
      <c r="AW131" t="inlineStr">
        <is>
          <t>991004592239702656</t>
        </is>
      </c>
      <c r="AX131" t="inlineStr">
        <is>
          <t>991004592239702656</t>
        </is>
      </c>
      <c r="AY131" t="inlineStr">
        <is>
          <t>2254993510002656</t>
        </is>
      </c>
      <c r="AZ131" t="inlineStr">
        <is>
          <t>BOOK</t>
        </is>
      </c>
      <c r="BB131" t="inlineStr">
        <is>
          <t>9780891584452</t>
        </is>
      </c>
      <c r="BC131" t="inlineStr">
        <is>
          <t>32285001092914</t>
        </is>
      </c>
      <c r="BD131" t="inlineStr">
        <is>
          <t>893612533</t>
        </is>
      </c>
    </row>
    <row r="132">
      <c r="A132" t="inlineStr">
        <is>
          <t>No</t>
        </is>
      </c>
      <c r="B132" t="inlineStr">
        <is>
          <t>HV2475 .L7 1918</t>
        </is>
      </c>
      <c r="C132" t="inlineStr">
        <is>
          <t>0                      HV 2475000L  7           1918</t>
        </is>
      </c>
      <c r="D132" t="inlineStr">
        <is>
          <t>The sign language : a manual of signs, being a descriptive vocabulary of signs used by the deaf of the United States and Canada / by J. Schuyler Long.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Long, J. Schuyler (Joseph Schuyler), 1869-</t>
        </is>
      </c>
      <c r="L132" t="inlineStr">
        <is>
          <t>Des Moines, Ia. : R. Henderson, 1918.</t>
        </is>
      </c>
      <c r="M132" t="inlineStr">
        <is>
          <t>1918</t>
        </is>
      </c>
      <c r="N132" t="inlineStr">
        <is>
          <t>2d ed., rev. and enl.</t>
        </is>
      </c>
      <c r="O132" t="inlineStr">
        <is>
          <t>eng</t>
        </is>
      </c>
      <c r="P132" t="inlineStr">
        <is>
          <t xml:space="preserve">xx </t>
        </is>
      </c>
      <c r="R132" t="inlineStr">
        <is>
          <t xml:space="preserve">HV </t>
        </is>
      </c>
      <c r="S132" t="n">
        <v>10</v>
      </c>
      <c r="T132" t="n">
        <v>10</v>
      </c>
      <c r="U132" t="inlineStr">
        <is>
          <t>1998-10-26</t>
        </is>
      </c>
      <c r="V132" t="inlineStr">
        <is>
          <t>1998-10-26</t>
        </is>
      </c>
      <c r="W132" t="inlineStr">
        <is>
          <t>1992-11-04</t>
        </is>
      </c>
      <c r="X132" t="inlineStr">
        <is>
          <t>1992-11-04</t>
        </is>
      </c>
      <c r="Y132" t="n">
        <v>30</v>
      </c>
      <c r="Z132" t="n">
        <v>29</v>
      </c>
      <c r="AA132" t="n">
        <v>83</v>
      </c>
      <c r="AB132" t="n">
        <v>1</v>
      </c>
      <c r="AC132" t="n">
        <v>1</v>
      </c>
      <c r="AD132" t="n">
        <v>1</v>
      </c>
      <c r="AE132" t="n">
        <v>2</v>
      </c>
      <c r="AF132" t="n">
        <v>0</v>
      </c>
      <c r="AG132" t="n">
        <v>1</v>
      </c>
      <c r="AH132" t="n">
        <v>1</v>
      </c>
      <c r="AI132" t="n">
        <v>1</v>
      </c>
      <c r="AJ132" t="n">
        <v>1</v>
      </c>
      <c r="AK132" t="n">
        <v>1</v>
      </c>
      <c r="AL132" t="n">
        <v>0</v>
      </c>
      <c r="AM132" t="n">
        <v>0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HYPERLINK("https://creighton-primo.hosted.exlibrisgroup.com/primo-explore/search?tab=default_tab&amp;search_scope=EVERYTHING&amp;vid=01CRU&amp;lang=en_US&amp;offset=0&amp;query=any,contains,991003242359702656","Catalog Record")</f>
        <v/>
      </c>
      <c r="AT132">
        <f>HYPERLINK("http://www.worldcat.org/oclc/765347","WorldCat Record")</f>
        <v/>
      </c>
      <c r="AU132" t="inlineStr">
        <is>
          <t>2287341040:eng</t>
        </is>
      </c>
      <c r="AV132" t="inlineStr">
        <is>
          <t>765347</t>
        </is>
      </c>
      <c r="AW132" t="inlineStr">
        <is>
          <t>991003242359702656</t>
        </is>
      </c>
      <c r="AX132" t="inlineStr">
        <is>
          <t>991003242359702656</t>
        </is>
      </c>
      <c r="AY132" t="inlineStr">
        <is>
          <t>2270349770002656</t>
        </is>
      </c>
      <c r="AZ132" t="inlineStr">
        <is>
          <t>BOOK</t>
        </is>
      </c>
      <c r="BC132" t="inlineStr">
        <is>
          <t>32285001381416</t>
        </is>
      </c>
      <c r="BD132" t="inlineStr">
        <is>
          <t>893805553</t>
        </is>
      </c>
    </row>
    <row r="133">
      <c r="A133" t="inlineStr">
        <is>
          <t>No</t>
        </is>
      </c>
      <c r="B133" t="inlineStr">
        <is>
          <t>HV248 .H28 1987</t>
        </is>
      </c>
      <c r="C133" t="inlineStr">
        <is>
          <t>0                      HV 0248000H  28          1987</t>
        </is>
      </c>
      <c r="D133" t="inlineStr">
        <is>
          <t>Justifying state welfare : the New Right versus the Old Left / David Harris ; with a foreword by David Miller.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Harris, David (David C.)</t>
        </is>
      </c>
      <c r="L133" t="inlineStr">
        <is>
          <t>Oxford, UK ; New York, NY, USA : B. Blackwell, 1987.</t>
        </is>
      </c>
      <c r="M133" t="inlineStr">
        <is>
          <t>1987</t>
        </is>
      </c>
      <c r="O133" t="inlineStr">
        <is>
          <t>eng</t>
        </is>
      </c>
      <c r="P133" t="inlineStr">
        <is>
          <t>enk</t>
        </is>
      </c>
      <c r="R133" t="inlineStr">
        <is>
          <t xml:space="preserve">HV </t>
        </is>
      </c>
      <c r="S133" t="n">
        <v>4</v>
      </c>
      <c r="T133" t="n">
        <v>4</v>
      </c>
      <c r="U133" t="inlineStr">
        <is>
          <t>1995-11-08</t>
        </is>
      </c>
      <c r="V133" t="inlineStr">
        <is>
          <t>1995-11-08</t>
        </is>
      </c>
      <c r="W133" t="inlineStr">
        <is>
          <t>1993-05-17</t>
        </is>
      </c>
      <c r="X133" t="inlineStr">
        <is>
          <t>1993-05-17</t>
        </is>
      </c>
      <c r="Y133" t="n">
        <v>323</v>
      </c>
      <c r="Z133" t="n">
        <v>196</v>
      </c>
      <c r="AA133" t="n">
        <v>196</v>
      </c>
      <c r="AB133" t="n">
        <v>2</v>
      </c>
      <c r="AC133" t="n">
        <v>2</v>
      </c>
      <c r="AD133" t="n">
        <v>8</v>
      </c>
      <c r="AE133" t="n">
        <v>8</v>
      </c>
      <c r="AF133" t="n">
        <v>1</v>
      </c>
      <c r="AG133" t="n">
        <v>1</v>
      </c>
      <c r="AH133" t="n">
        <v>3</v>
      </c>
      <c r="AI133" t="n">
        <v>3</v>
      </c>
      <c r="AJ133" t="n">
        <v>6</v>
      </c>
      <c r="AK133" t="n">
        <v>6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HYPERLINK("https://creighton-primo.hosted.exlibrisgroup.com/primo-explore/search?tab=default_tab&amp;search_scope=EVERYTHING&amp;vid=01CRU&amp;lang=en_US&amp;offset=0&amp;query=any,contains,991000980439702656","Catalog Record")</f>
        <v/>
      </c>
      <c r="AT133">
        <f>HYPERLINK("http://www.worldcat.org/oclc/15018952","WorldCat Record")</f>
        <v/>
      </c>
      <c r="AU133" t="inlineStr">
        <is>
          <t>327141484:eng</t>
        </is>
      </c>
      <c r="AV133" t="inlineStr">
        <is>
          <t>15018952</t>
        </is>
      </c>
      <c r="AW133" t="inlineStr">
        <is>
          <t>991000980439702656</t>
        </is>
      </c>
      <c r="AX133" t="inlineStr">
        <is>
          <t>991000980439702656</t>
        </is>
      </c>
      <c r="AY133" t="inlineStr">
        <is>
          <t>2262890910002656</t>
        </is>
      </c>
      <c r="AZ133" t="inlineStr">
        <is>
          <t>BOOK</t>
        </is>
      </c>
      <c r="BB133" t="inlineStr">
        <is>
          <t>9780631148586</t>
        </is>
      </c>
      <c r="BC133" t="inlineStr">
        <is>
          <t>32285001681120</t>
        </is>
      </c>
      <c r="BD133" t="inlineStr">
        <is>
          <t>893784701</t>
        </is>
      </c>
    </row>
    <row r="134">
      <c r="A134" t="inlineStr">
        <is>
          <t>No</t>
        </is>
      </c>
      <c r="B134" t="inlineStr">
        <is>
          <t>HV248 .N49 1989</t>
        </is>
      </c>
      <c r="C134" t="inlineStr">
        <is>
          <t>0                      HV 0248000N  49          1989</t>
        </is>
      </c>
      <c r="D134" t="inlineStr">
        <is>
          <t>The New politics of welfare : an agenda for the 1990s? / edited by Michael McCarthy ; [preface by Thomas Meenaghan].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Chicago, IL : Lyceum Books, 1989.</t>
        </is>
      </c>
      <c r="M134" t="inlineStr">
        <is>
          <t>1989</t>
        </is>
      </c>
      <c r="O134" t="inlineStr">
        <is>
          <t>eng</t>
        </is>
      </c>
      <c r="P134" t="inlineStr">
        <is>
          <t>ilu</t>
        </is>
      </c>
      <c r="R134" t="inlineStr">
        <is>
          <t xml:space="preserve">HV </t>
        </is>
      </c>
      <c r="S134" t="n">
        <v>1</v>
      </c>
      <c r="T134" t="n">
        <v>1</v>
      </c>
      <c r="U134" t="inlineStr">
        <is>
          <t>1995-11-08</t>
        </is>
      </c>
      <c r="V134" t="inlineStr">
        <is>
          <t>1995-11-08</t>
        </is>
      </c>
      <c r="W134" t="inlineStr">
        <is>
          <t>1995-07-05</t>
        </is>
      </c>
      <c r="X134" t="inlineStr">
        <is>
          <t>1995-07-05</t>
        </is>
      </c>
      <c r="Y134" t="n">
        <v>223</v>
      </c>
      <c r="Z134" t="n">
        <v>197</v>
      </c>
      <c r="AA134" t="n">
        <v>244</v>
      </c>
      <c r="AB134" t="n">
        <v>1</v>
      </c>
      <c r="AC134" t="n">
        <v>2</v>
      </c>
      <c r="AD134" t="n">
        <v>15</v>
      </c>
      <c r="AE134" t="n">
        <v>17</v>
      </c>
      <c r="AF134" t="n">
        <v>5</v>
      </c>
      <c r="AG134" t="n">
        <v>5</v>
      </c>
      <c r="AH134" t="n">
        <v>6</v>
      </c>
      <c r="AI134" t="n">
        <v>6</v>
      </c>
      <c r="AJ134" t="n">
        <v>8</v>
      </c>
      <c r="AK134" t="n">
        <v>9</v>
      </c>
      <c r="AL134" t="n">
        <v>0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HYPERLINK("https://creighton-primo.hosted.exlibrisgroup.com/primo-explore/search?tab=default_tab&amp;search_scope=EVERYTHING&amp;vid=01CRU&amp;lang=en_US&amp;offset=0&amp;query=any,contains,991001541639702656","Catalog Record")</f>
        <v/>
      </c>
      <c r="AT134">
        <f>HYPERLINK("http://www.worldcat.org/oclc/20131201","WorldCat Record")</f>
        <v/>
      </c>
      <c r="AU134" t="inlineStr">
        <is>
          <t>836859412:eng</t>
        </is>
      </c>
      <c r="AV134" t="inlineStr">
        <is>
          <t>20131201</t>
        </is>
      </c>
      <c r="AW134" t="inlineStr">
        <is>
          <t>991001541639702656</t>
        </is>
      </c>
      <c r="AX134" t="inlineStr">
        <is>
          <t>991001541639702656</t>
        </is>
      </c>
      <c r="AY134" t="inlineStr">
        <is>
          <t>2264085410002656</t>
        </is>
      </c>
      <c r="AZ134" t="inlineStr">
        <is>
          <t>BOOK</t>
        </is>
      </c>
      <c r="BB134" t="inlineStr">
        <is>
          <t>9780925065230</t>
        </is>
      </c>
      <c r="BC134" t="inlineStr">
        <is>
          <t>32285002053824</t>
        </is>
      </c>
      <c r="BD134" t="inlineStr">
        <is>
          <t>893772654</t>
        </is>
      </c>
    </row>
    <row r="135">
      <c r="A135" t="inlineStr">
        <is>
          <t>No</t>
        </is>
      </c>
      <c r="B135" t="inlineStr">
        <is>
          <t>HV248 .P26 1987</t>
        </is>
      </c>
      <c r="C135" t="inlineStr">
        <is>
          <t>0                      HV 0248000P  26          1987</t>
        </is>
      </c>
      <c r="D135" t="inlineStr">
        <is>
          <t>The private provision of public welfare : state, market, and community / Elim Papadakis, Peter Taylor-Gooby.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Papadakis, Elim.</t>
        </is>
      </c>
      <c r="L135" t="inlineStr">
        <is>
          <t>Sussex : Wheatsheaf Books ; New York : St. Martin's Press, 1987.</t>
        </is>
      </c>
      <c r="M135" t="inlineStr">
        <is>
          <t>1987</t>
        </is>
      </c>
      <c r="O135" t="inlineStr">
        <is>
          <t>eng</t>
        </is>
      </c>
      <c r="P135" t="inlineStr">
        <is>
          <t>enk</t>
        </is>
      </c>
      <c r="R135" t="inlineStr">
        <is>
          <t xml:space="preserve">HV </t>
        </is>
      </c>
      <c r="S135" t="n">
        <v>1</v>
      </c>
      <c r="T135" t="n">
        <v>1</v>
      </c>
      <c r="U135" t="inlineStr">
        <is>
          <t>1995-10-20</t>
        </is>
      </c>
      <c r="V135" t="inlineStr">
        <is>
          <t>1995-10-20</t>
        </is>
      </c>
      <c r="W135" t="inlineStr">
        <is>
          <t>1990-04-30</t>
        </is>
      </c>
      <c r="X135" t="inlineStr">
        <is>
          <t>1990-04-30</t>
        </is>
      </c>
      <c r="Y135" t="n">
        <v>265</v>
      </c>
      <c r="Z135" t="n">
        <v>119</v>
      </c>
      <c r="AA135" t="n">
        <v>121</v>
      </c>
      <c r="AB135" t="n">
        <v>1</v>
      </c>
      <c r="AC135" t="n">
        <v>1</v>
      </c>
      <c r="AD135" t="n">
        <v>1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1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HYPERLINK("http://catalog.hathitrust.org/Record/102210878","HathiTrust Record")</f>
        <v/>
      </c>
      <c r="AS135">
        <f>HYPERLINK("https://creighton-primo.hosted.exlibrisgroup.com/primo-explore/search?tab=default_tab&amp;search_scope=EVERYTHING&amp;vid=01CRU&amp;lang=en_US&amp;offset=0&amp;query=any,contains,991001043909702656","Catalog Record")</f>
        <v/>
      </c>
      <c r="AT135">
        <f>HYPERLINK("http://www.worldcat.org/oclc/15593971","WorldCat Record")</f>
        <v/>
      </c>
      <c r="AU135" t="inlineStr">
        <is>
          <t>10672792:eng</t>
        </is>
      </c>
      <c r="AV135" t="inlineStr">
        <is>
          <t>15593971</t>
        </is>
      </c>
      <c r="AW135" t="inlineStr">
        <is>
          <t>991001043909702656</t>
        </is>
      </c>
      <c r="AX135" t="inlineStr">
        <is>
          <t>991001043909702656</t>
        </is>
      </c>
      <c r="AY135" t="inlineStr">
        <is>
          <t>2255013370002656</t>
        </is>
      </c>
      <c r="AZ135" t="inlineStr">
        <is>
          <t>BOOK</t>
        </is>
      </c>
      <c r="BB135" t="inlineStr">
        <is>
          <t>9780312009502</t>
        </is>
      </c>
      <c r="BC135" t="inlineStr">
        <is>
          <t>32285000134949</t>
        </is>
      </c>
      <c r="BD135" t="inlineStr">
        <is>
          <t>893696413</t>
        </is>
      </c>
    </row>
    <row r="136">
      <c r="A136" t="inlineStr">
        <is>
          <t>No</t>
        </is>
      </c>
      <c r="B136" t="inlineStr">
        <is>
          <t>HV2483 .B48 1987</t>
        </is>
      </c>
      <c r="C136" t="inlineStr">
        <is>
          <t>0                      HV 2483000B  48          1987</t>
        </is>
      </c>
      <c r="D136" t="inlineStr">
        <is>
          <t>Facilitating classroom listening : a handbook for teachers of normal and hard of hearing students / Frederick S. Berg.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Berg, Frederick S.</t>
        </is>
      </c>
      <c r="L136" t="inlineStr">
        <is>
          <t>Boston : College-Hill Press, c1987.</t>
        </is>
      </c>
      <c r="M136" t="inlineStr">
        <is>
          <t>1986</t>
        </is>
      </c>
      <c r="O136" t="inlineStr">
        <is>
          <t>eng</t>
        </is>
      </c>
      <c r="P136" t="inlineStr">
        <is>
          <t>mau</t>
        </is>
      </c>
      <c r="R136" t="inlineStr">
        <is>
          <t xml:space="preserve">HV </t>
        </is>
      </c>
      <c r="S136" t="n">
        <v>3</v>
      </c>
      <c r="T136" t="n">
        <v>3</v>
      </c>
      <c r="U136" t="inlineStr">
        <is>
          <t>2007-08-30</t>
        </is>
      </c>
      <c r="V136" t="inlineStr">
        <is>
          <t>2007-08-30</t>
        </is>
      </c>
      <c r="W136" t="inlineStr">
        <is>
          <t>1991-12-05</t>
        </is>
      </c>
      <c r="X136" t="inlineStr">
        <is>
          <t>1991-12-05</t>
        </is>
      </c>
      <c r="Y136" t="n">
        <v>243</v>
      </c>
      <c r="Z136" t="n">
        <v>221</v>
      </c>
      <c r="AA136" t="n">
        <v>255</v>
      </c>
      <c r="AB136" t="n">
        <v>4</v>
      </c>
      <c r="AC136" t="n">
        <v>4</v>
      </c>
      <c r="AD136" t="n">
        <v>8</v>
      </c>
      <c r="AE136" t="n">
        <v>9</v>
      </c>
      <c r="AF136" t="n">
        <v>2</v>
      </c>
      <c r="AG136" t="n">
        <v>3</v>
      </c>
      <c r="AH136" t="n">
        <v>1</v>
      </c>
      <c r="AI136" t="n">
        <v>1</v>
      </c>
      <c r="AJ136" t="n">
        <v>4</v>
      </c>
      <c r="AK136" t="n">
        <v>5</v>
      </c>
      <c r="AL136" t="n">
        <v>3</v>
      </c>
      <c r="AM136" t="n">
        <v>3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HYPERLINK("http://catalog.hathitrust.org/Record/000815066","HathiTrust Record")</f>
        <v/>
      </c>
      <c r="AS136">
        <f>HYPERLINK("https://creighton-primo.hosted.exlibrisgroup.com/primo-explore/search?tab=default_tab&amp;search_scope=EVERYTHING&amp;vid=01CRU&amp;lang=en_US&amp;offset=0&amp;query=any,contains,991000874289702656","Catalog Record")</f>
        <v/>
      </c>
      <c r="AT136">
        <f>HYPERLINK("http://www.worldcat.org/oclc/13795456","WorldCat Record")</f>
        <v/>
      </c>
      <c r="AU136" t="inlineStr">
        <is>
          <t>7195984:eng</t>
        </is>
      </c>
      <c r="AV136" t="inlineStr">
        <is>
          <t>13795456</t>
        </is>
      </c>
      <c r="AW136" t="inlineStr">
        <is>
          <t>991000874289702656</t>
        </is>
      </c>
      <c r="AX136" t="inlineStr">
        <is>
          <t>991000874289702656</t>
        </is>
      </c>
      <c r="AY136" t="inlineStr">
        <is>
          <t>2269054320002656</t>
        </is>
      </c>
      <c r="AZ136" t="inlineStr">
        <is>
          <t>BOOK</t>
        </is>
      </c>
      <c r="BB136" t="inlineStr">
        <is>
          <t>9780316091442</t>
        </is>
      </c>
      <c r="BC136" t="inlineStr">
        <is>
          <t>32285000848340</t>
        </is>
      </c>
      <c r="BD136" t="inlineStr">
        <is>
          <t>893803138</t>
        </is>
      </c>
    </row>
    <row r="137">
      <c r="A137" t="inlineStr">
        <is>
          <t>No</t>
        </is>
      </c>
      <c r="B137" t="inlineStr">
        <is>
          <t>HV2487 .K5</t>
        </is>
      </c>
      <c r="C137" t="inlineStr">
        <is>
          <t>0                      HV 2487000K  5</t>
        </is>
      </c>
      <c r="D137" t="inlineStr">
        <is>
          <t>Lip-reading for the deafened adult, with a foreword by His Grace the Duke of Montrose, by Cora Elsie Kinzie and Rose Kinzie.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Kinzie, Cora Elsie.</t>
        </is>
      </c>
      <c r="L137" t="inlineStr">
        <is>
          <t>Philadelphia, Chicago [etc.] The John C. Winston company [c1931]</t>
        </is>
      </c>
      <c r="M137" t="inlineStr">
        <is>
          <t>1931</t>
        </is>
      </c>
      <c r="O137" t="inlineStr">
        <is>
          <t>eng</t>
        </is>
      </c>
      <c r="P137" t="inlineStr">
        <is>
          <t xml:space="preserve">xx </t>
        </is>
      </c>
      <c r="R137" t="inlineStr">
        <is>
          <t xml:space="preserve">HV </t>
        </is>
      </c>
      <c r="S137" t="n">
        <v>3</v>
      </c>
      <c r="T137" t="n">
        <v>3</v>
      </c>
      <c r="U137" t="inlineStr">
        <is>
          <t>1998-03-15</t>
        </is>
      </c>
      <c r="V137" t="inlineStr">
        <is>
          <t>1998-03-15</t>
        </is>
      </c>
      <c r="W137" t="inlineStr">
        <is>
          <t>1997-08-22</t>
        </is>
      </c>
      <c r="X137" t="inlineStr">
        <is>
          <t>1997-08-22</t>
        </is>
      </c>
      <c r="Y137" t="n">
        <v>91</v>
      </c>
      <c r="Z137" t="n">
        <v>88</v>
      </c>
      <c r="AA137" t="n">
        <v>91</v>
      </c>
      <c r="AB137" t="n">
        <v>2</v>
      </c>
      <c r="AC137" t="n">
        <v>2</v>
      </c>
      <c r="AD137" t="n">
        <v>2</v>
      </c>
      <c r="AE137" t="n">
        <v>2</v>
      </c>
      <c r="AF137" t="n">
        <v>1</v>
      </c>
      <c r="AG137" t="n">
        <v>1</v>
      </c>
      <c r="AH137" t="n">
        <v>0</v>
      </c>
      <c r="AI137" t="n">
        <v>0</v>
      </c>
      <c r="AJ137" t="n">
        <v>0</v>
      </c>
      <c r="AK137" t="n">
        <v>0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HYPERLINK("http://catalog.hathitrust.org/Record/010655815","HathiTrust Record")</f>
        <v/>
      </c>
      <c r="AS137">
        <f>HYPERLINK("https://creighton-primo.hosted.exlibrisgroup.com/primo-explore/search?tab=default_tab&amp;search_scope=EVERYTHING&amp;vid=01CRU&amp;lang=en_US&amp;offset=0&amp;query=any,contains,991003893109702656","Catalog Record")</f>
        <v/>
      </c>
      <c r="AT137">
        <f>HYPERLINK("http://www.worldcat.org/oclc/1801687","WorldCat Record")</f>
        <v/>
      </c>
      <c r="AU137" t="inlineStr">
        <is>
          <t>39204563:eng</t>
        </is>
      </c>
      <c r="AV137" t="inlineStr">
        <is>
          <t>1801687</t>
        </is>
      </c>
      <c r="AW137" t="inlineStr">
        <is>
          <t>991003893109702656</t>
        </is>
      </c>
      <c r="AX137" t="inlineStr">
        <is>
          <t>991003893109702656</t>
        </is>
      </c>
      <c r="AY137" t="inlineStr">
        <is>
          <t>2267536070002656</t>
        </is>
      </c>
      <c r="AZ137" t="inlineStr">
        <is>
          <t>BOOK</t>
        </is>
      </c>
      <c r="BC137" t="inlineStr">
        <is>
          <t>32285003157061</t>
        </is>
      </c>
      <c r="BD137" t="inlineStr">
        <is>
          <t>893330957</t>
        </is>
      </c>
    </row>
    <row r="138">
      <c r="A138" t="inlineStr">
        <is>
          <t>No</t>
        </is>
      </c>
      <c r="B138" t="inlineStr">
        <is>
          <t>HV250.L8 A65 1989</t>
        </is>
      </c>
      <c r="C138" t="inlineStr">
        <is>
          <t>0                      HV 0250000L  8                  A  65          1989</t>
        </is>
      </c>
      <c r="D138" t="inlineStr">
        <is>
          <t>Philanthropy and police : London charity in the eighteenth century / Donna T. Andrew.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Andrew, Donna T., 1945-</t>
        </is>
      </c>
      <c r="L138" t="inlineStr">
        <is>
          <t>Princeton, N.J. : Princeton University Press, c1989.</t>
        </is>
      </c>
      <c r="M138" t="inlineStr">
        <is>
          <t>1989</t>
        </is>
      </c>
      <c r="O138" t="inlineStr">
        <is>
          <t>eng</t>
        </is>
      </c>
      <c r="P138" t="inlineStr">
        <is>
          <t>nju</t>
        </is>
      </c>
      <c r="R138" t="inlineStr">
        <is>
          <t xml:space="preserve">HV </t>
        </is>
      </c>
      <c r="S138" t="n">
        <v>1</v>
      </c>
      <c r="T138" t="n">
        <v>1</v>
      </c>
      <c r="U138" t="inlineStr">
        <is>
          <t>2004-10-07</t>
        </is>
      </c>
      <c r="V138" t="inlineStr">
        <is>
          <t>2004-10-07</t>
        </is>
      </c>
      <c r="W138" t="inlineStr">
        <is>
          <t>2004-10-07</t>
        </is>
      </c>
      <c r="X138" t="inlineStr">
        <is>
          <t>2004-10-07</t>
        </is>
      </c>
      <c r="Y138" t="n">
        <v>385</v>
      </c>
      <c r="Z138" t="n">
        <v>290</v>
      </c>
      <c r="AA138" t="n">
        <v>542</v>
      </c>
      <c r="AB138" t="n">
        <v>2</v>
      </c>
      <c r="AC138" t="n">
        <v>5</v>
      </c>
      <c r="AD138" t="n">
        <v>12</v>
      </c>
      <c r="AE138" t="n">
        <v>27</v>
      </c>
      <c r="AF138" t="n">
        <v>3</v>
      </c>
      <c r="AG138" t="n">
        <v>11</v>
      </c>
      <c r="AH138" t="n">
        <v>5</v>
      </c>
      <c r="AI138" t="n">
        <v>9</v>
      </c>
      <c r="AJ138" t="n">
        <v>8</v>
      </c>
      <c r="AK138" t="n">
        <v>12</v>
      </c>
      <c r="AL138" t="n">
        <v>1</v>
      </c>
      <c r="AM138" t="n">
        <v>3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HYPERLINK("https://creighton-primo.hosted.exlibrisgroup.com/primo-explore/search?tab=default_tab&amp;search_scope=EVERYTHING&amp;vid=01CRU&amp;lang=en_US&amp;offset=0&amp;query=any,contains,991004395019702656","Catalog Record")</f>
        <v/>
      </c>
      <c r="AT138">
        <f>HYPERLINK("http://www.worldcat.org/oclc/18413246","WorldCat Record")</f>
        <v/>
      </c>
      <c r="AU138" t="inlineStr">
        <is>
          <t>199153460:eng</t>
        </is>
      </c>
      <c r="AV138" t="inlineStr">
        <is>
          <t>18413246</t>
        </is>
      </c>
      <c r="AW138" t="inlineStr">
        <is>
          <t>991004395019702656</t>
        </is>
      </c>
      <c r="AX138" t="inlineStr">
        <is>
          <t>991004395019702656</t>
        </is>
      </c>
      <c r="AY138" t="inlineStr">
        <is>
          <t>2257204660002656</t>
        </is>
      </c>
      <c r="AZ138" t="inlineStr">
        <is>
          <t>BOOK</t>
        </is>
      </c>
      <c r="BB138" t="inlineStr">
        <is>
          <t>9780691055572</t>
        </is>
      </c>
      <c r="BC138" t="inlineStr">
        <is>
          <t>32285005002489</t>
        </is>
      </c>
      <c r="BD138" t="inlineStr">
        <is>
          <t>893436241</t>
        </is>
      </c>
    </row>
    <row r="139">
      <c r="A139" t="inlineStr">
        <is>
          <t>No</t>
        </is>
      </c>
      <c r="B139" t="inlineStr">
        <is>
          <t>HV2504 .F67 1992</t>
        </is>
      </c>
      <c r="C139" t="inlineStr">
        <is>
          <t>0                      HV 2504000F  67          1992</t>
        </is>
      </c>
      <c r="D139" t="inlineStr">
        <is>
          <t>Working with deaf people : accessibility and accommodation in the workplace / by Susan B. Foster.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Foster, Susan Bannerman.</t>
        </is>
      </c>
      <c r="L139" t="inlineStr">
        <is>
          <t>Springfield, Ill. : C.C. Thomas, c1992.</t>
        </is>
      </c>
      <c r="M139" t="inlineStr">
        <is>
          <t>1992</t>
        </is>
      </c>
      <c r="O139" t="inlineStr">
        <is>
          <t>eng</t>
        </is>
      </c>
      <c r="P139" t="inlineStr">
        <is>
          <t>ilu</t>
        </is>
      </c>
      <c r="R139" t="inlineStr">
        <is>
          <t xml:space="preserve">HV </t>
        </is>
      </c>
      <c r="S139" t="n">
        <v>6</v>
      </c>
      <c r="T139" t="n">
        <v>6</v>
      </c>
      <c r="U139" t="inlineStr">
        <is>
          <t>2000-02-01</t>
        </is>
      </c>
      <c r="V139" t="inlineStr">
        <is>
          <t>2000-02-01</t>
        </is>
      </c>
      <c r="W139" t="inlineStr">
        <is>
          <t>1993-05-06</t>
        </is>
      </c>
      <c r="X139" t="inlineStr">
        <is>
          <t>1993-05-06</t>
        </is>
      </c>
      <c r="Y139" t="n">
        <v>186</v>
      </c>
      <c r="Z139" t="n">
        <v>162</v>
      </c>
      <c r="AA139" t="n">
        <v>167</v>
      </c>
      <c r="AB139" t="n">
        <v>3</v>
      </c>
      <c r="AC139" t="n">
        <v>3</v>
      </c>
      <c r="AD139" t="n">
        <v>8</v>
      </c>
      <c r="AE139" t="n">
        <v>8</v>
      </c>
      <c r="AF139" t="n">
        <v>1</v>
      </c>
      <c r="AG139" t="n">
        <v>1</v>
      </c>
      <c r="AH139" t="n">
        <v>2</v>
      </c>
      <c r="AI139" t="n">
        <v>2</v>
      </c>
      <c r="AJ139" t="n">
        <v>4</v>
      </c>
      <c r="AK139" t="n">
        <v>4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HYPERLINK("https://creighton-primo.hosted.exlibrisgroup.com/primo-explore/search?tab=default_tab&amp;search_scope=EVERYTHING&amp;vid=01CRU&amp;lang=en_US&amp;offset=0&amp;query=any,contains,991002013939702656","Catalog Record")</f>
        <v/>
      </c>
      <c r="AT139">
        <f>HYPERLINK("http://www.worldcat.org/oclc/25629863","WorldCat Record")</f>
        <v/>
      </c>
      <c r="AU139" t="inlineStr">
        <is>
          <t>28287999:eng</t>
        </is>
      </c>
      <c r="AV139" t="inlineStr">
        <is>
          <t>25629863</t>
        </is>
      </c>
      <c r="AW139" t="inlineStr">
        <is>
          <t>991002013939702656</t>
        </is>
      </c>
      <c r="AX139" t="inlineStr">
        <is>
          <t>991002013939702656</t>
        </is>
      </c>
      <c r="AY139" t="inlineStr">
        <is>
          <t>2259826150002656</t>
        </is>
      </c>
      <c r="AZ139" t="inlineStr">
        <is>
          <t>BOOK</t>
        </is>
      </c>
      <c r="BB139" t="inlineStr">
        <is>
          <t>9780398058081</t>
        </is>
      </c>
      <c r="BC139" t="inlineStr">
        <is>
          <t>32285001580751</t>
        </is>
      </c>
      <c r="BD139" t="inlineStr">
        <is>
          <t>893596932</t>
        </is>
      </c>
    </row>
    <row r="140">
      <c r="A140" t="inlineStr">
        <is>
          <t>No</t>
        </is>
      </c>
      <c r="B140" t="inlineStr">
        <is>
          <t>HV2545 .B42 1943</t>
        </is>
      </c>
      <c r="C140" t="inlineStr">
        <is>
          <t>0                      HV 2545000B  42          1943</t>
        </is>
      </c>
      <c r="D140" t="inlineStr">
        <is>
          <t>Deafness and the deaf in the United States; considered primarily in relation to those sometimes more or less erroneously known as "deaf-mutes," by Harry Best.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Best, Harry, 1880-1971.</t>
        </is>
      </c>
      <c r="L140" t="inlineStr">
        <is>
          <t>New York, The Macmillan Company, 1943.</t>
        </is>
      </c>
      <c r="M140" t="inlineStr">
        <is>
          <t>1943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HV </t>
        </is>
      </c>
      <c r="S140" t="n">
        <v>9</v>
      </c>
      <c r="T140" t="n">
        <v>9</v>
      </c>
      <c r="U140" t="inlineStr">
        <is>
          <t>2009-12-04</t>
        </is>
      </c>
      <c r="V140" t="inlineStr">
        <is>
          <t>2009-12-04</t>
        </is>
      </c>
      <c r="W140" t="inlineStr">
        <is>
          <t>1997-08-22</t>
        </is>
      </c>
      <c r="X140" t="inlineStr">
        <is>
          <t>1997-08-22</t>
        </is>
      </c>
      <c r="Y140" t="n">
        <v>308</v>
      </c>
      <c r="Z140" t="n">
        <v>284</v>
      </c>
      <c r="AA140" t="n">
        <v>286</v>
      </c>
      <c r="AB140" t="n">
        <v>5</v>
      </c>
      <c r="AC140" t="n">
        <v>5</v>
      </c>
      <c r="AD140" t="n">
        <v>11</v>
      </c>
      <c r="AE140" t="n">
        <v>11</v>
      </c>
      <c r="AF140" t="n">
        <v>2</v>
      </c>
      <c r="AG140" t="n">
        <v>2</v>
      </c>
      <c r="AH140" t="n">
        <v>1</v>
      </c>
      <c r="AI140" t="n">
        <v>1</v>
      </c>
      <c r="AJ140" t="n">
        <v>5</v>
      </c>
      <c r="AK140" t="n">
        <v>5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HYPERLINK("http://catalog.hathitrust.org/Record/001120098","HathiTrust Record")</f>
        <v/>
      </c>
      <c r="AS140">
        <f>HYPERLINK("https://creighton-primo.hosted.exlibrisgroup.com/primo-explore/search?tab=default_tab&amp;search_scope=EVERYTHING&amp;vid=01CRU&amp;lang=en_US&amp;offset=0&amp;query=any,contains,991003555789702656","Catalog Record")</f>
        <v/>
      </c>
      <c r="AT140">
        <f>HYPERLINK("http://www.worldcat.org/oclc/1124183","WorldCat Record")</f>
        <v/>
      </c>
      <c r="AU140" t="inlineStr">
        <is>
          <t>2033585:eng</t>
        </is>
      </c>
      <c r="AV140" t="inlineStr">
        <is>
          <t>1124183</t>
        </is>
      </c>
      <c r="AW140" t="inlineStr">
        <is>
          <t>991003555789702656</t>
        </is>
      </c>
      <c r="AX140" t="inlineStr">
        <is>
          <t>991003555789702656</t>
        </is>
      </c>
      <c r="AY140" t="inlineStr">
        <is>
          <t>2269488370002656</t>
        </is>
      </c>
      <c r="AZ140" t="inlineStr">
        <is>
          <t>BOOK</t>
        </is>
      </c>
      <c r="BC140" t="inlineStr">
        <is>
          <t>32285003157087</t>
        </is>
      </c>
      <c r="BD140" t="inlineStr">
        <is>
          <t>893336620</t>
        </is>
      </c>
    </row>
    <row r="141">
      <c r="A141" t="inlineStr">
        <is>
          <t>No</t>
        </is>
      </c>
      <c r="B141" t="inlineStr">
        <is>
          <t>HV2545 .H37</t>
        </is>
      </c>
      <c r="C141" t="inlineStr">
        <is>
          <t>0                      HV 2545000H  37</t>
        </is>
      </c>
      <c r="D141" t="inlineStr">
        <is>
          <t>Educational and psychosocial aspects of deafness / [edited by] Richard E. Hardy [and] John G. Cull.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Hardy, Richard E.</t>
        </is>
      </c>
      <c r="L141" t="inlineStr">
        <is>
          <t>Springfield, Ill. : Thomas, [1974]</t>
        </is>
      </c>
      <c r="M141" t="inlineStr">
        <is>
          <t>1974</t>
        </is>
      </c>
      <c r="O141" t="inlineStr">
        <is>
          <t>eng</t>
        </is>
      </c>
      <c r="P141" t="inlineStr">
        <is>
          <t>ilu</t>
        </is>
      </c>
      <c r="Q141" t="inlineStr">
        <is>
          <t>American lecture series, no. 931. A publication in the Bannerstone Division of American lectures in social and rehabilitation psychology</t>
        </is>
      </c>
      <c r="R141" t="inlineStr">
        <is>
          <t xml:space="preserve">HV </t>
        </is>
      </c>
      <c r="S141" t="n">
        <v>4</v>
      </c>
      <c r="T141" t="n">
        <v>4</v>
      </c>
      <c r="U141" t="inlineStr">
        <is>
          <t>2005-04-17</t>
        </is>
      </c>
      <c r="V141" t="inlineStr">
        <is>
          <t>2005-04-17</t>
        </is>
      </c>
      <c r="W141" t="inlineStr">
        <is>
          <t>1990-02-22</t>
        </is>
      </c>
      <c r="X141" t="inlineStr">
        <is>
          <t>1990-02-22</t>
        </is>
      </c>
      <c r="Y141" t="n">
        <v>398</v>
      </c>
      <c r="Z141" t="n">
        <v>337</v>
      </c>
      <c r="AA141" t="n">
        <v>344</v>
      </c>
      <c r="AB141" t="n">
        <v>2</v>
      </c>
      <c r="AC141" t="n">
        <v>2</v>
      </c>
      <c r="AD141" t="n">
        <v>8</v>
      </c>
      <c r="AE141" t="n">
        <v>8</v>
      </c>
      <c r="AF141" t="n">
        <v>4</v>
      </c>
      <c r="AG141" t="n">
        <v>4</v>
      </c>
      <c r="AH141" t="n">
        <v>0</v>
      </c>
      <c r="AI141" t="n">
        <v>0</v>
      </c>
      <c r="AJ141" t="n">
        <v>4</v>
      </c>
      <c r="AK141" t="n">
        <v>4</v>
      </c>
      <c r="AL141" t="n">
        <v>1</v>
      </c>
      <c r="AM141" t="n">
        <v>1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HYPERLINK("https://creighton-primo.hosted.exlibrisgroup.com/primo-explore/search?tab=default_tab&amp;search_scope=EVERYTHING&amp;vid=01CRU&amp;lang=en_US&amp;offset=0&amp;query=any,contains,991003161839702656","Catalog Record")</f>
        <v/>
      </c>
      <c r="AT141">
        <f>HYPERLINK("http://www.worldcat.org/oclc/700713","WorldCat Record")</f>
        <v/>
      </c>
      <c r="AU141" t="inlineStr">
        <is>
          <t>219320:eng</t>
        </is>
      </c>
      <c r="AV141" t="inlineStr">
        <is>
          <t>700713</t>
        </is>
      </c>
      <c r="AW141" t="inlineStr">
        <is>
          <t>991003161839702656</t>
        </is>
      </c>
      <c r="AX141" t="inlineStr">
        <is>
          <t>991003161839702656</t>
        </is>
      </c>
      <c r="AY141" t="inlineStr">
        <is>
          <t>2255455290002656</t>
        </is>
      </c>
      <c r="AZ141" t="inlineStr">
        <is>
          <t>BOOK</t>
        </is>
      </c>
      <c r="BB141" t="inlineStr">
        <is>
          <t>9780398030025</t>
        </is>
      </c>
      <c r="BC141" t="inlineStr">
        <is>
          <t>32285000060193</t>
        </is>
      </c>
      <c r="BD141" t="inlineStr">
        <is>
          <t>893524477</t>
        </is>
      </c>
    </row>
    <row r="142">
      <c r="A142" t="inlineStr">
        <is>
          <t>No</t>
        </is>
      </c>
      <c r="B142" t="inlineStr">
        <is>
          <t>HV2545 .P33 1988</t>
        </is>
      </c>
      <c r="C142" t="inlineStr">
        <is>
          <t>0                      HV 2545000P  33          1988</t>
        </is>
      </c>
      <c r="D142" t="inlineStr">
        <is>
          <t>Deaf in America : voices from a culture / Carol Padden, Tom Humphries.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Padden, Carol.</t>
        </is>
      </c>
      <c r="L142" t="inlineStr">
        <is>
          <t>Cambridge, Mass. : Harvard University Press, 1988.</t>
        </is>
      </c>
      <c r="M142" t="inlineStr">
        <is>
          <t>1988</t>
        </is>
      </c>
      <c r="O142" t="inlineStr">
        <is>
          <t>eng</t>
        </is>
      </c>
      <c r="P142" t="inlineStr">
        <is>
          <t>mau</t>
        </is>
      </c>
      <c r="R142" t="inlineStr">
        <is>
          <t xml:space="preserve">HV </t>
        </is>
      </c>
      <c r="S142" t="n">
        <v>17</v>
      </c>
      <c r="T142" t="n">
        <v>17</v>
      </c>
      <c r="U142" t="inlineStr">
        <is>
          <t>2007-02-14</t>
        </is>
      </c>
      <c r="V142" t="inlineStr">
        <is>
          <t>2007-02-14</t>
        </is>
      </c>
      <c r="W142" t="inlineStr">
        <is>
          <t>1990-02-20</t>
        </is>
      </c>
      <c r="X142" t="inlineStr">
        <is>
          <t>1990-02-20</t>
        </is>
      </c>
      <c r="Y142" t="n">
        <v>1459</v>
      </c>
      <c r="Z142" t="n">
        <v>1332</v>
      </c>
      <c r="AA142" t="n">
        <v>1341</v>
      </c>
      <c r="AB142" t="n">
        <v>11</v>
      </c>
      <c r="AC142" t="n">
        <v>11</v>
      </c>
      <c r="AD142" t="n">
        <v>38</v>
      </c>
      <c r="AE142" t="n">
        <v>38</v>
      </c>
      <c r="AF142" t="n">
        <v>18</v>
      </c>
      <c r="AG142" t="n">
        <v>18</v>
      </c>
      <c r="AH142" t="n">
        <v>9</v>
      </c>
      <c r="AI142" t="n">
        <v>9</v>
      </c>
      <c r="AJ142" t="n">
        <v>15</v>
      </c>
      <c r="AK142" t="n">
        <v>15</v>
      </c>
      <c r="AL142" t="n">
        <v>6</v>
      </c>
      <c r="AM142" t="n">
        <v>6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HYPERLINK("https://creighton-primo.hosted.exlibrisgroup.com/primo-explore/search?tab=default_tab&amp;search_scope=EVERYTHING&amp;vid=01CRU&amp;lang=en_US&amp;offset=0&amp;query=any,contains,991001276699702656","Catalog Record")</f>
        <v/>
      </c>
      <c r="AT142">
        <f>HYPERLINK("http://www.worldcat.org/oclc/17875818","WorldCat Record")</f>
        <v/>
      </c>
      <c r="AU142" t="inlineStr">
        <is>
          <t>796410436:eng</t>
        </is>
      </c>
      <c r="AV142" t="inlineStr">
        <is>
          <t>17875818</t>
        </is>
      </c>
      <c r="AW142" t="inlineStr">
        <is>
          <t>991001276699702656</t>
        </is>
      </c>
      <c r="AX142" t="inlineStr">
        <is>
          <t>991001276699702656</t>
        </is>
      </c>
      <c r="AY142" t="inlineStr">
        <is>
          <t>2270490430002656</t>
        </is>
      </c>
      <c r="AZ142" t="inlineStr">
        <is>
          <t>BOOK</t>
        </is>
      </c>
      <c r="BB142" t="inlineStr">
        <is>
          <t>9780674194236</t>
        </is>
      </c>
      <c r="BC142" t="inlineStr">
        <is>
          <t>32285000057272</t>
        </is>
      </c>
      <c r="BD142" t="inlineStr">
        <is>
          <t>893690497</t>
        </is>
      </c>
    </row>
    <row r="143">
      <c r="A143" t="inlineStr">
        <is>
          <t>No</t>
        </is>
      </c>
      <c r="B143" t="inlineStr">
        <is>
          <t>HV2545 .P38 1990</t>
        </is>
      </c>
      <c r="C143" t="inlineStr">
        <is>
          <t>0                      HV 2545000P  38          1990</t>
        </is>
      </c>
      <c r="D143" t="inlineStr">
        <is>
          <t>Education and deafness / Peter V. Paul, Stephen P. Quigley.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Paul, Peter V.</t>
        </is>
      </c>
      <c r="L143" t="inlineStr">
        <is>
          <t>New York : Longman, 1990.</t>
        </is>
      </c>
      <c r="M143" t="inlineStr">
        <is>
          <t>1990</t>
        </is>
      </c>
      <c r="O143" t="inlineStr">
        <is>
          <t>eng</t>
        </is>
      </c>
      <c r="P143" t="inlineStr">
        <is>
          <t>nyu</t>
        </is>
      </c>
      <c r="R143" t="inlineStr">
        <is>
          <t xml:space="preserve">HV </t>
        </is>
      </c>
      <c r="S143" t="n">
        <v>14</v>
      </c>
      <c r="T143" t="n">
        <v>14</v>
      </c>
      <c r="U143" t="inlineStr">
        <is>
          <t>2005-04-17</t>
        </is>
      </c>
      <c r="V143" t="inlineStr">
        <is>
          <t>2005-04-17</t>
        </is>
      </c>
      <c r="W143" t="inlineStr">
        <is>
          <t>1989-10-24</t>
        </is>
      </c>
      <c r="X143" t="inlineStr">
        <is>
          <t>1989-10-24</t>
        </is>
      </c>
      <c r="Y143" t="n">
        <v>231</v>
      </c>
      <c r="Z143" t="n">
        <v>195</v>
      </c>
      <c r="AA143" t="n">
        <v>202</v>
      </c>
      <c r="AB143" t="n">
        <v>2</v>
      </c>
      <c r="AC143" t="n">
        <v>2</v>
      </c>
      <c r="AD143" t="n">
        <v>8</v>
      </c>
      <c r="AE143" t="n">
        <v>8</v>
      </c>
      <c r="AF143" t="n">
        <v>3</v>
      </c>
      <c r="AG143" t="n">
        <v>3</v>
      </c>
      <c r="AH143" t="n">
        <v>1</v>
      </c>
      <c r="AI143" t="n">
        <v>1</v>
      </c>
      <c r="AJ143" t="n">
        <v>4</v>
      </c>
      <c r="AK143" t="n">
        <v>4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HYPERLINK("https://creighton-primo.hosted.exlibrisgroup.com/primo-explore/search?tab=default_tab&amp;search_scope=EVERYTHING&amp;vid=01CRU&amp;lang=en_US&amp;offset=0&amp;query=any,contains,991001492499702656","Catalog Record")</f>
        <v/>
      </c>
      <c r="AT143">
        <f>HYPERLINK("http://www.worldcat.org/oclc/19739353","WorldCat Record")</f>
        <v/>
      </c>
      <c r="AU143" t="inlineStr">
        <is>
          <t>21779095:eng</t>
        </is>
      </c>
      <c r="AV143" t="inlineStr">
        <is>
          <t>19739353</t>
        </is>
      </c>
      <c r="AW143" t="inlineStr">
        <is>
          <t>991001492499702656</t>
        </is>
      </c>
      <c r="AX143" t="inlineStr">
        <is>
          <t>991001492499702656</t>
        </is>
      </c>
      <c r="AY143" t="inlineStr">
        <is>
          <t>2259310150002656</t>
        </is>
      </c>
      <c r="AZ143" t="inlineStr">
        <is>
          <t>BOOK</t>
        </is>
      </c>
      <c r="BB143" t="inlineStr">
        <is>
          <t>9780801300264</t>
        </is>
      </c>
      <c r="BC143" t="inlineStr">
        <is>
          <t>32285000004704</t>
        </is>
      </c>
      <c r="BD143" t="inlineStr">
        <is>
          <t>893534567</t>
        </is>
      </c>
    </row>
    <row r="144">
      <c r="A144" t="inlineStr">
        <is>
          <t>No</t>
        </is>
      </c>
      <c r="B144" t="inlineStr">
        <is>
          <t>HV268 .B47 1996</t>
        </is>
      </c>
      <c r="C144" t="inlineStr">
        <is>
          <t>0                      HV 0268000B  47          1996</t>
        </is>
      </c>
      <c r="D144" t="inlineStr">
        <is>
          <t>Saving our children from poverty : what the United States can learn from France / Barbara R. Bergmann.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Bergmann, Barbara R.</t>
        </is>
      </c>
      <c r="L144" t="inlineStr">
        <is>
          <t>New York : Russell Sage Foundation, c1996.</t>
        </is>
      </c>
      <c r="M144" t="inlineStr">
        <is>
          <t>1996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HV </t>
        </is>
      </c>
      <c r="S144" t="n">
        <v>10</v>
      </c>
      <c r="T144" t="n">
        <v>10</v>
      </c>
      <c r="U144" t="inlineStr">
        <is>
          <t>2000-01-26</t>
        </is>
      </c>
      <c r="V144" t="inlineStr">
        <is>
          <t>2000-01-26</t>
        </is>
      </c>
      <c r="W144" t="inlineStr">
        <is>
          <t>1997-03-19</t>
        </is>
      </c>
      <c r="X144" t="inlineStr">
        <is>
          <t>1997-03-19</t>
        </is>
      </c>
      <c r="Y144" t="n">
        <v>515</v>
      </c>
      <c r="Z144" t="n">
        <v>463</v>
      </c>
      <c r="AA144" t="n">
        <v>535</v>
      </c>
      <c r="AB144" t="n">
        <v>4</v>
      </c>
      <c r="AC144" t="n">
        <v>5</v>
      </c>
      <c r="AD144" t="n">
        <v>27</v>
      </c>
      <c r="AE144" t="n">
        <v>31</v>
      </c>
      <c r="AF144" t="n">
        <v>10</v>
      </c>
      <c r="AG144" t="n">
        <v>12</v>
      </c>
      <c r="AH144" t="n">
        <v>8</v>
      </c>
      <c r="AI144" t="n">
        <v>9</v>
      </c>
      <c r="AJ144" t="n">
        <v>13</v>
      </c>
      <c r="AK144" t="n">
        <v>13</v>
      </c>
      <c r="AL144" t="n">
        <v>3</v>
      </c>
      <c r="AM144" t="n">
        <v>4</v>
      </c>
      <c r="AN144" t="n">
        <v>1</v>
      </c>
      <c r="AO144" t="n">
        <v>2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HYPERLINK("https://creighton-primo.hosted.exlibrisgroup.com/primo-explore/search?tab=default_tab&amp;search_scope=EVERYTHING&amp;vid=01CRU&amp;lang=en_US&amp;offset=0&amp;query=any,contains,991005424279702656","Catalog Record")</f>
        <v/>
      </c>
      <c r="AT144">
        <f>HYPERLINK("http://www.worldcat.org/oclc/35018120","WorldCat Record")</f>
        <v/>
      </c>
      <c r="AU144" t="inlineStr">
        <is>
          <t>1028120450:eng</t>
        </is>
      </c>
      <c r="AV144" t="inlineStr">
        <is>
          <t>35018120</t>
        </is>
      </c>
      <c r="AW144" t="inlineStr">
        <is>
          <t>991005424279702656</t>
        </is>
      </c>
      <c r="AX144" t="inlineStr">
        <is>
          <t>991005424279702656</t>
        </is>
      </c>
      <c r="AY144" t="inlineStr">
        <is>
          <t>2267576330002656</t>
        </is>
      </c>
      <c r="AZ144" t="inlineStr">
        <is>
          <t>BOOK</t>
        </is>
      </c>
      <c r="BB144" t="inlineStr">
        <is>
          <t>9780871541147</t>
        </is>
      </c>
      <c r="BC144" t="inlineStr">
        <is>
          <t>32285002444486</t>
        </is>
      </c>
      <c r="BD144" t="inlineStr">
        <is>
          <t>893607375</t>
        </is>
      </c>
    </row>
    <row r="145">
      <c r="A145" t="inlineStr">
        <is>
          <t>No</t>
        </is>
      </c>
      <c r="B145" t="inlineStr">
        <is>
          <t>HV27 .C45 2003</t>
        </is>
      </c>
      <c r="C145" t="inlineStr">
        <is>
          <t>0                      HV 0027000C  45          2003</t>
        </is>
      </c>
      <c r="D145" t="inlineStr">
        <is>
          <t>Celebrating social work : faces and voices of the formative years / edited by Elizabeth Wichers Dumez ; photographs by Donato Sardella.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Alexandria, Va. : Council on Social Work Education, c2003.</t>
        </is>
      </c>
      <c r="M145" t="inlineStr">
        <is>
          <t>2003</t>
        </is>
      </c>
      <c r="O145" t="inlineStr">
        <is>
          <t>eng</t>
        </is>
      </c>
      <c r="P145" t="inlineStr">
        <is>
          <t>vau</t>
        </is>
      </c>
      <c r="R145" t="inlineStr">
        <is>
          <t xml:space="preserve">HV </t>
        </is>
      </c>
      <c r="S145" t="n">
        <v>2</v>
      </c>
      <c r="T145" t="n">
        <v>2</v>
      </c>
      <c r="U145" t="inlineStr">
        <is>
          <t>2007-04-12</t>
        </is>
      </c>
      <c r="V145" t="inlineStr">
        <is>
          <t>2007-04-12</t>
        </is>
      </c>
      <c r="W145" t="inlineStr">
        <is>
          <t>2004-09-14</t>
        </is>
      </c>
      <c r="X145" t="inlineStr">
        <is>
          <t>2004-09-14</t>
        </is>
      </c>
      <c r="Y145" t="n">
        <v>290</v>
      </c>
      <c r="Z145" t="n">
        <v>271</v>
      </c>
      <c r="AA145" t="n">
        <v>278</v>
      </c>
      <c r="AB145" t="n">
        <v>1</v>
      </c>
      <c r="AC145" t="n">
        <v>1</v>
      </c>
      <c r="AD145" t="n">
        <v>10</v>
      </c>
      <c r="AE145" t="n">
        <v>10</v>
      </c>
      <c r="AF145" t="n">
        <v>4</v>
      </c>
      <c r="AG145" t="n">
        <v>4</v>
      </c>
      <c r="AH145" t="n">
        <v>1</v>
      </c>
      <c r="AI145" t="n">
        <v>1</v>
      </c>
      <c r="AJ145" t="n">
        <v>6</v>
      </c>
      <c r="AK145" t="n">
        <v>6</v>
      </c>
      <c r="AL145" t="n">
        <v>0</v>
      </c>
      <c r="AM145" t="n">
        <v>0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HYPERLINK("http://catalog.hathitrust.org/Record/004736764","HathiTrust Record")</f>
        <v/>
      </c>
      <c r="AS145">
        <f>HYPERLINK("https://creighton-primo.hosted.exlibrisgroup.com/primo-explore/search?tab=default_tab&amp;search_scope=EVERYTHING&amp;vid=01CRU&amp;lang=en_US&amp;offset=0&amp;query=any,contains,991004370419702656","Catalog Record")</f>
        <v/>
      </c>
      <c r="AT145">
        <f>HYPERLINK("http://www.worldcat.org/oclc/52814287","WorldCat Record")</f>
        <v/>
      </c>
      <c r="AU145" t="inlineStr">
        <is>
          <t>730220:eng</t>
        </is>
      </c>
      <c r="AV145" t="inlineStr">
        <is>
          <t>52814287</t>
        </is>
      </c>
      <c r="AW145" t="inlineStr">
        <is>
          <t>991004370419702656</t>
        </is>
      </c>
      <c r="AX145" t="inlineStr">
        <is>
          <t>991004370419702656</t>
        </is>
      </c>
      <c r="AY145" t="inlineStr">
        <is>
          <t>2262575300002656</t>
        </is>
      </c>
      <c r="AZ145" t="inlineStr">
        <is>
          <t>BOOK</t>
        </is>
      </c>
      <c r="BB145" t="inlineStr">
        <is>
          <t>9780872931046</t>
        </is>
      </c>
      <c r="BC145" t="inlineStr">
        <is>
          <t>32285004986906</t>
        </is>
      </c>
      <c r="BD145" t="inlineStr">
        <is>
          <t>893253609</t>
        </is>
      </c>
    </row>
    <row r="146">
      <c r="A146" t="inlineStr">
        <is>
          <t>No</t>
        </is>
      </c>
      <c r="B146" t="inlineStr">
        <is>
          <t>HV27 .F35 2002</t>
        </is>
      </c>
      <c r="C146" t="inlineStr">
        <is>
          <t>0                      HV 0027000F  35          2002</t>
        </is>
      </c>
      <c r="D146" t="inlineStr">
        <is>
          <t>Faithful angels : portraits of international social work notables / James O. Billups, editor.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L146" t="inlineStr">
        <is>
          <t>Washington, D.C. : National Association of Social Workers, c2002.</t>
        </is>
      </c>
      <c r="M146" t="inlineStr">
        <is>
          <t>2002</t>
        </is>
      </c>
      <c r="O146" t="inlineStr">
        <is>
          <t>eng</t>
        </is>
      </c>
      <c r="P146" t="inlineStr">
        <is>
          <t>dcu</t>
        </is>
      </c>
      <c r="R146" t="inlineStr">
        <is>
          <t xml:space="preserve">HV </t>
        </is>
      </c>
      <c r="S146" t="n">
        <v>2</v>
      </c>
      <c r="T146" t="n">
        <v>2</v>
      </c>
      <c r="U146" t="inlineStr">
        <is>
          <t>2009-02-04</t>
        </is>
      </c>
      <c r="V146" t="inlineStr">
        <is>
          <t>2009-02-04</t>
        </is>
      </c>
      <c r="W146" t="inlineStr">
        <is>
          <t>2003-11-12</t>
        </is>
      </c>
      <c r="X146" t="inlineStr">
        <is>
          <t>2003-11-12</t>
        </is>
      </c>
      <c r="Y146" t="n">
        <v>322</v>
      </c>
      <c r="Z146" t="n">
        <v>295</v>
      </c>
      <c r="AA146" t="n">
        <v>303</v>
      </c>
      <c r="AB146" t="n">
        <v>2</v>
      </c>
      <c r="AC146" t="n">
        <v>2</v>
      </c>
      <c r="AD146" t="n">
        <v>12</v>
      </c>
      <c r="AE146" t="n">
        <v>12</v>
      </c>
      <c r="AF146" t="n">
        <v>3</v>
      </c>
      <c r="AG146" t="n">
        <v>3</v>
      </c>
      <c r="AH146" t="n">
        <v>3</v>
      </c>
      <c r="AI146" t="n">
        <v>3</v>
      </c>
      <c r="AJ146" t="n">
        <v>7</v>
      </c>
      <c r="AK146" t="n">
        <v>7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HYPERLINK("http://catalog.hathitrust.org/Record/003592430","HathiTrust Record")</f>
        <v/>
      </c>
      <c r="AS146">
        <f>HYPERLINK("https://creighton-primo.hosted.exlibrisgroup.com/primo-explore/search?tab=default_tab&amp;search_scope=EVERYTHING&amp;vid=01CRU&amp;lang=en_US&amp;offset=0&amp;query=any,contains,991004162819702656","Catalog Record")</f>
        <v/>
      </c>
      <c r="AT146">
        <f>HYPERLINK("http://www.worldcat.org/oclc/48588556","WorldCat Record")</f>
        <v/>
      </c>
      <c r="AU146" t="inlineStr">
        <is>
          <t>37972784:eng</t>
        </is>
      </c>
      <c r="AV146" t="inlineStr">
        <is>
          <t>48588556</t>
        </is>
      </c>
      <c r="AW146" t="inlineStr">
        <is>
          <t>991004162819702656</t>
        </is>
      </c>
      <c r="AX146" t="inlineStr">
        <is>
          <t>991004162819702656</t>
        </is>
      </c>
      <c r="AY146" t="inlineStr">
        <is>
          <t>2257856410002656</t>
        </is>
      </c>
      <c r="AZ146" t="inlineStr">
        <is>
          <t>BOOK</t>
        </is>
      </c>
      <c r="BB146" t="inlineStr">
        <is>
          <t>9780871013149</t>
        </is>
      </c>
      <c r="BC146" t="inlineStr">
        <is>
          <t>32285004797204</t>
        </is>
      </c>
      <c r="BD146" t="inlineStr">
        <is>
          <t>893599503</t>
        </is>
      </c>
    </row>
    <row r="147">
      <c r="A147" t="inlineStr">
        <is>
          <t>No</t>
        </is>
      </c>
      <c r="B147" t="inlineStr">
        <is>
          <t>HV2716 .L96 1986</t>
        </is>
      </c>
      <c r="C147" t="inlineStr">
        <is>
          <t>0                      HV 2716000L  96          1986</t>
        </is>
      </c>
      <c r="D147" t="inlineStr">
        <is>
          <t>Integrating the handicapped into ordinary schools : a study of hearing-impaired pupils / Wendy Lynas.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Lynas, Wendy.</t>
        </is>
      </c>
      <c r="L147" t="inlineStr">
        <is>
          <t>London ; Dover, N.H. : Croom Helm, c1986.</t>
        </is>
      </c>
      <c r="M147" t="inlineStr">
        <is>
          <t>1986</t>
        </is>
      </c>
      <c r="O147" t="inlineStr">
        <is>
          <t>eng</t>
        </is>
      </c>
      <c r="P147" t="inlineStr">
        <is>
          <t>enk</t>
        </is>
      </c>
      <c r="R147" t="inlineStr">
        <is>
          <t xml:space="preserve">HV </t>
        </is>
      </c>
      <c r="S147" t="n">
        <v>7</v>
      </c>
      <c r="T147" t="n">
        <v>7</v>
      </c>
      <c r="U147" t="inlineStr">
        <is>
          <t>1997-10-18</t>
        </is>
      </c>
      <c r="V147" t="inlineStr">
        <is>
          <t>1997-10-18</t>
        </is>
      </c>
      <c r="W147" t="inlineStr">
        <is>
          <t>1992-04-16</t>
        </is>
      </c>
      <c r="X147" t="inlineStr">
        <is>
          <t>1992-04-16</t>
        </is>
      </c>
      <c r="Y147" t="n">
        <v>371</v>
      </c>
      <c r="Z147" t="n">
        <v>251</v>
      </c>
      <c r="AA147" t="n">
        <v>252</v>
      </c>
      <c r="AB147" t="n">
        <v>3</v>
      </c>
      <c r="AC147" t="n">
        <v>3</v>
      </c>
      <c r="AD147" t="n">
        <v>11</v>
      </c>
      <c r="AE147" t="n">
        <v>11</v>
      </c>
      <c r="AF147" t="n">
        <v>4</v>
      </c>
      <c r="AG147" t="n">
        <v>4</v>
      </c>
      <c r="AH147" t="n">
        <v>3</v>
      </c>
      <c r="AI147" t="n">
        <v>3</v>
      </c>
      <c r="AJ147" t="n">
        <v>5</v>
      </c>
      <c r="AK147" t="n">
        <v>5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HYPERLINK("http://catalog.hathitrust.org/Record/000389034","HathiTrust Record")</f>
        <v/>
      </c>
      <c r="AS147">
        <f>HYPERLINK("https://creighton-primo.hosted.exlibrisgroup.com/primo-explore/search?tab=default_tab&amp;search_scope=EVERYTHING&amp;vid=01CRU&amp;lang=en_US&amp;offset=0&amp;query=any,contains,991000655609702656","Catalog Record")</f>
        <v/>
      </c>
      <c r="AT147">
        <f>HYPERLINK("http://www.worldcat.org/oclc/12214985","WorldCat Record")</f>
        <v/>
      </c>
      <c r="AU147" t="inlineStr">
        <is>
          <t>836719073:eng</t>
        </is>
      </c>
      <c r="AV147" t="inlineStr">
        <is>
          <t>12214985</t>
        </is>
      </c>
      <c r="AW147" t="inlineStr">
        <is>
          <t>991000655609702656</t>
        </is>
      </c>
      <c r="AX147" t="inlineStr">
        <is>
          <t>991000655609702656</t>
        </is>
      </c>
      <c r="AY147" t="inlineStr">
        <is>
          <t>2266753280002656</t>
        </is>
      </c>
      <c r="AZ147" t="inlineStr">
        <is>
          <t>BOOK</t>
        </is>
      </c>
      <c r="BB147" t="inlineStr">
        <is>
          <t>9780709916871</t>
        </is>
      </c>
      <c r="BC147" t="inlineStr">
        <is>
          <t>32285001044733</t>
        </is>
      </c>
      <c r="BD147" t="inlineStr">
        <is>
          <t>893333657</t>
        </is>
      </c>
    </row>
    <row r="148">
      <c r="A148" t="inlineStr">
        <is>
          <t>No</t>
        </is>
      </c>
      <c r="B148" t="inlineStr">
        <is>
          <t>HV2736 .L36 1984</t>
        </is>
      </c>
      <c r="C148" t="inlineStr">
        <is>
          <t>0                      HV 2736000L  36          1984</t>
        </is>
      </c>
      <c r="D148" t="inlineStr">
        <is>
          <t>The Deaf experience : classics in language and education / edited by Harlan Lane ; translated by Franklin Philip.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Cambride, Mass. : Harvard University Press, 1984.</t>
        </is>
      </c>
      <c r="M148" t="inlineStr">
        <is>
          <t>1984</t>
        </is>
      </c>
      <c r="O148" t="inlineStr">
        <is>
          <t>eng</t>
        </is>
      </c>
      <c r="P148" t="inlineStr">
        <is>
          <t>mau</t>
        </is>
      </c>
      <c r="R148" t="inlineStr">
        <is>
          <t xml:space="preserve">HV </t>
        </is>
      </c>
      <c r="S148" t="n">
        <v>4</v>
      </c>
      <c r="T148" t="n">
        <v>4</v>
      </c>
      <c r="U148" t="inlineStr">
        <is>
          <t>2002-11-25</t>
        </is>
      </c>
      <c r="V148" t="inlineStr">
        <is>
          <t>2002-11-25</t>
        </is>
      </c>
      <c r="W148" t="inlineStr">
        <is>
          <t>1990-02-20</t>
        </is>
      </c>
      <c r="X148" t="inlineStr">
        <is>
          <t>1990-02-20</t>
        </is>
      </c>
      <c r="Y148" t="n">
        <v>534</v>
      </c>
      <c r="Z148" t="n">
        <v>465</v>
      </c>
      <c r="AA148" t="n">
        <v>541</v>
      </c>
      <c r="AB148" t="n">
        <v>5</v>
      </c>
      <c r="AC148" t="n">
        <v>5</v>
      </c>
      <c r="AD148" t="n">
        <v>16</v>
      </c>
      <c r="AE148" t="n">
        <v>17</v>
      </c>
      <c r="AF148" t="n">
        <v>5</v>
      </c>
      <c r="AG148" t="n">
        <v>6</v>
      </c>
      <c r="AH148" t="n">
        <v>5</v>
      </c>
      <c r="AI148" t="n">
        <v>5</v>
      </c>
      <c r="AJ148" t="n">
        <v>6</v>
      </c>
      <c r="AK148" t="n">
        <v>7</v>
      </c>
      <c r="AL148" t="n">
        <v>4</v>
      </c>
      <c r="AM148" t="n">
        <v>4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HYPERLINK("http://catalog.hathitrust.org/Record/000558829","HathiTrust Record")</f>
        <v/>
      </c>
      <c r="AS148">
        <f>HYPERLINK("https://creighton-primo.hosted.exlibrisgroup.com/primo-explore/search?tab=default_tab&amp;search_scope=EVERYTHING&amp;vid=01CRU&amp;lang=en_US&amp;offset=0&amp;query=any,contains,991000345509702656","Catalog Record")</f>
        <v/>
      </c>
      <c r="AT148">
        <f>HYPERLINK("http://www.worldcat.org/oclc/10277665","WorldCat Record")</f>
        <v/>
      </c>
      <c r="AU148" t="inlineStr">
        <is>
          <t>800546415:eng</t>
        </is>
      </c>
      <c r="AV148" t="inlineStr">
        <is>
          <t>10277665</t>
        </is>
      </c>
      <c r="AW148" t="inlineStr">
        <is>
          <t>991000345509702656</t>
        </is>
      </c>
      <c r="AX148" t="inlineStr">
        <is>
          <t>991000345509702656</t>
        </is>
      </c>
      <c r="AY148" t="inlineStr">
        <is>
          <t>2265301420002656</t>
        </is>
      </c>
      <c r="AZ148" t="inlineStr">
        <is>
          <t>BOOK</t>
        </is>
      </c>
      <c r="BB148" t="inlineStr">
        <is>
          <t>9780674194601</t>
        </is>
      </c>
      <c r="BC148" t="inlineStr">
        <is>
          <t>32285000057280</t>
        </is>
      </c>
      <c r="BD148" t="inlineStr">
        <is>
          <t>893890587</t>
        </is>
      </c>
    </row>
    <row r="149">
      <c r="A149" t="inlineStr">
        <is>
          <t>No</t>
        </is>
      </c>
      <c r="B149" t="inlineStr">
        <is>
          <t>HV28.A35 A25</t>
        </is>
      </c>
      <c r="C149" t="inlineStr">
        <is>
          <t>0                      HV 0028000A  35                 A  25</t>
        </is>
      </c>
      <c r="D149" t="inlineStr">
        <is>
          <t>The social thought of Jane Addams / edited by Christopher Lasch.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Addams, Jane, 1860-1935.</t>
        </is>
      </c>
      <c r="L149" t="inlineStr">
        <is>
          <t>Indianapolis : Bobbs-Merrill, [1965]</t>
        </is>
      </c>
      <c r="M149" t="inlineStr">
        <is>
          <t>1965</t>
        </is>
      </c>
      <c r="O149" t="inlineStr">
        <is>
          <t>eng</t>
        </is>
      </c>
      <c r="P149" t="inlineStr">
        <is>
          <t>inu</t>
        </is>
      </c>
      <c r="Q149" t="inlineStr">
        <is>
          <t>The American heritage series, AHS69</t>
        </is>
      </c>
      <c r="R149" t="inlineStr">
        <is>
          <t xml:space="preserve">HV </t>
        </is>
      </c>
      <c r="S149" t="n">
        <v>8</v>
      </c>
      <c r="T149" t="n">
        <v>8</v>
      </c>
      <c r="U149" t="inlineStr">
        <is>
          <t>2004-05-01</t>
        </is>
      </c>
      <c r="V149" t="inlineStr">
        <is>
          <t>2004-05-01</t>
        </is>
      </c>
      <c r="W149" t="inlineStr">
        <is>
          <t>1991-09-16</t>
        </is>
      </c>
      <c r="X149" t="inlineStr">
        <is>
          <t>1991-09-16</t>
        </is>
      </c>
      <c r="Y149" t="n">
        <v>681</v>
      </c>
      <c r="Z149" t="n">
        <v>617</v>
      </c>
      <c r="AA149" t="n">
        <v>683</v>
      </c>
      <c r="AB149" t="n">
        <v>2</v>
      </c>
      <c r="AC149" t="n">
        <v>2</v>
      </c>
      <c r="AD149" t="n">
        <v>23</v>
      </c>
      <c r="AE149" t="n">
        <v>26</v>
      </c>
      <c r="AF149" t="n">
        <v>11</v>
      </c>
      <c r="AG149" t="n">
        <v>13</v>
      </c>
      <c r="AH149" t="n">
        <v>7</v>
      </c>
      <c r="AI149" t="n">
        <v>7</v>
      </c>
      <c r="AJ149" t="n">
        <v>11</v>
      </c>
      <c r="AK149" t="n">
        <v>13</v>
      </c>
      <c r="AL149" t="n">
        <v>1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HYPERLINK("http://catalog.hathitrust.org/Record/001131217","HathiTrust Record")</f>
        <v/>
      </c>
      <c r="AS149">
        <f>HYPERLINK("https://creighton-primo.hosted.exlibrisgroup.com/primo-explore/search?tab=default_tab&amp;search_scope=EVERYTHING&amp;vid=01CRU&amp;lang=en_US&amp;offset=0&amp;query=any,contains,991002073909702656","Catalog Record")</f>
        <v/>
      </c>
      <c r="AT149">
        <f>HYPERLINK("http://www.worldcat.org/oclc/263809","WorldCat Record")</f>
        <v/>
      </c>
      <c r="AU149" t="inlineStr">
        <is>
          <t>494636:eng</t>
        </is>
      </c>
      <c r="AV149" t="inlineStr">
        <is>
          <t>263809</t>
        </is>
      </c>
      <c r="AW149" t="inlineStr">
        <is>
          <t>991002073909702656</t>
        </is>
      </c>
      <c r="AX149" t="inlineStr">
        <is>
          <t>991002073909702656</t>
        </is>
      </c>
      <c r="AY149" t="inlineStr">
        <is>
          <t>2268589430002656</t>
        </is>
      </c>
      <c r="AZ149" t="inlineStr">
        <is>
          <t>BOOK</t>
        </is>
      </c>
      <c r="BC149" t="inlineStr">
        <is>
          <t>32285000737725</t>
        </is>
      </c>
      <c r="BD149" t="inlineStr">
        <is>
          <t>893798142</t>
        </is>
      </c>
    </row>
    <row r="150">
      <c r="A150" t="inlineStr">
        <is>
          <t>No</t>
        </is>
      </c>
      <c r="B150" t="inlineStr">
        <is>
          <t>HV28.A35 B76 2004</t>
        </is>
      </c>
      <c r="C150" t="inlineStr">
        <is>
          <t>0                      HV 0028000A  35                 B  76          2004</t>
        </is>
      </c>
      <c r="D150" t="inlineStr">
        <is>
          <t>The education of Jane Addams / Victoria Bissell Brown.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Brown, Victoria (Victoria Bissell)</t>
        </is>
      </c>
      <c r="L150" t="inlineStr">
        <is>
          <t>Philadelphia : University of Pennsylvania Press, c2004.</t>
        </is>
      </c>
      <c r="M150" t="inlineStr">
        <is>
          <t>2004</t>
        </is>
      </c>
      <c r="O150" t="inlineStr">
        <is>
          <t>eng</t>
        </is>
      </c>
      <c r="P150" t="inlineStr">
        <is>
          <t>pau</t>
        </is>
      </c>
      <c r="Q150" t="inlineStr">
        <is>
          <t>Politics and culture in modern America</t>
        </is>
      </c>
      <c r="R150" t="inlineStr">
        <is>
          <t xml:space="preserve">HV </t>
        </is>
      </c>
      <c r="S150" t="n">
        <v>3</v>
      </c>
      <c r="T150" t="n">
        <v>3</v>
      </c>
      <c r="U150" t="inlineStr">
        <is>
          <t>2005-03-01</t>
        </is>
      </c>
      <c r="V150" t="inlineStr">
        <is>
          <t>2005-03-01</t>
        </is>
      </c>
      <c r="W150" t="inlineStr">
        <is>
          <t>2005-03-01</t>
        </is>
      </c>
      <c r="X150" t="inlineStr">
        <is>
          <t>2005-03-01</t>
        </is>
      </c>
      <c r="Y150" t="n">
        <v>819</v>
      </c>
      <c r="Z150" t="n">
        <v>765</v>
      </c>
      <c r="AA150" t="n">
        <v>782</v>
      </c>
      <c r="AB150" t="n">
        <v>6</v>
      </c>
      <c r="AC150" t="n">
        <v>6</v>
      </c>
      <c r="AD150" t="n">
        <v>35</v>
      </c>
      <c r="AE150" t="n">
        <v>36</v>
      </c>
      <c r="AF150" t="n">
        <v>14</v>
      </c>
      <c r="AG150" t="n">
        <v>15</v>
      </c>
      <c r="AH150" t="n">
        <v>9</v>
      </c>
      <c r="AI150" t="n">
        <v>9</v>
      </c>
      <c r="AJ150" t="n">
        <v>17</v>
      </c>
      <c r="AK150" t="n">
        <v>17</v>
      </c>
      <c r="AL150" t="n">
        <v>5</v>
      </c>
      <c r="AM150" t="n">
        <v>5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HYPERLINK("https://creighton-primo.hosted.exlibrisgroup.com/primo-explore/search?tab=default_tab&amp;search_scope=EVERYTHING&amp;vid=01CRU&amp;lang=en_US&amp;offset=0&amp;query=any,contains,991004456679702656","Catalog Record")</f>
        <v/>
      </c>
      <c r="AT150">
        <f>HYPERLINK("http://www.worldcat.org/oclc/52341443","WorldCat Record")</f>
        <v/>
      </c>
      <c r="AU150" t="inlineStr">
        <is>
          <t>706154:eng</t>
        </is>
      </c>
      <c r="AV150" t="inlineStr">
        <is>
          <t>52341443</t>
        </is>
      </c>
      <c r="AW150" t="inlineStr">
        <is>
          <t>991004456679702656</t>
        </is>
      </c>
      <c r="AX150" t="inlineStr">
        <is>
          <t>991004456679702656</t>
        </is>
      </c>
      <c r="AY150" t="inlineStr">
        <is>
          <t>2270198150002656</t>
        </is>
      </c>
      <c r="AZ150" t="inlineStr">
        <is>
          <t>BOOK</t>
        </is>
      </c>
      <c r="BB150" t="inlineStr">
        <is>
          <t>9780812237474</t>
        </is>
      </c>
      <c r="BC150" t="inlineStr">
        <is>
          <t>32285005028104</t>
        </is>
      </c>
      <c r="BD150" t="inlineStr">
        <is>
          <t>893606049</t>
        </is>
      </c>
    </row>
    <row r="151">
      <c r="A151" t="inlineStr">
        <is>
          <t>No</t>
        </is>
      </c>
      <c r="B151" t="inlineStr">
        <is>
          <t>HV28.A35 E57 2002</t>
        </is>
      </c>
      <c r="C151" t="inlineStr">
        <is>
          <t>0                      HV 0028000A  35                 E  57          2002</t>
        </is>
      </c>
      <c r="D151" t="inlineStr">
        <is>
          <t>Jane Addams and the dream of American democracy : a life / Jean Bethke Elshtain.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Elshtain, Jean Bethke, 1941-2013.</t>
        </is>
      </c>
      <c r="L151" t="inlineStr">
        <is>
          <t>New York : Basic Books, c2002.</t>
        </is>
      </c>
      <c r="M151" t="inlineStr">
        <is>
          <t>2002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HV </t>
        </is>
      </c>
      <c r="S151" t="n">
        <v>8</v>
      </c>
      <c r="T151" t="n">
        <v>8</v>
      </c>
      <c r="U151" t="inlineStr">
        <is>
          <t>2009-02-04</t>
        </is>
      </c>
      <c r="V151" t="inlineStr">
        <is>
          <t>2009-02-04</t>
        </is>
      </c>
      <c r="W151" t="inlineStr">
        <is>
          <t>2002-03-04</t>
        </is>
      </c>
      <c r="X151" t="inlineStr">
        <is>
          <t>2002-03-04</t>
        </is>
      </c>
      <c r="Y151" t="n">
        <v>1347</v>
      </c>
      <c r="Z151" t="n">
        <v>1269</v>
      </c>
      <c r="AA151" t="n">
        <v>1281</v>
      </c>
      <c r="AB151" t="n">
        <v>9</v>
      </c>
      <c r="AC151" t="n">
        <v>9</v>
      </c>
      <c r="AD151" t="n">
        <v>45</v>
      </c>
      <c r="AE151" t="n">
        <v>45</v>
      </c>
      <c r="AF151" t="n">
        <v>20</v>
      </c>
      <c r="AG151" t="n">
        <v>20</v>
      </c>
      <c r="AH151" t="n">
        <v>10</v>
      </c>
      <c r="AI151" t="n">
        <v>10</v>
      </c>
      <c r="AJ151" t="n">
        <v>20</v>
      </c>
      <c r="AK151" t="n">
        <v>20</v>
      </c>
      <c r="AL151" t="n">
        <v>5</v>
      </c>
      <c r="AM151" t="n">
        <v>5</v>
      </c>
      <c r="AN151" t="n">
        <v>1</v>
      </c>
      <c r="AO151" t="n">
        <v>1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HYPERLINK("http://catalog.hathitrust.org/Record/004220668","HathiTrust Record")</f>
        <v/>
      </c>
      <c r="AS151">
        <f>HYPERLINK("https://creighton-primo.hosted.exlibrisgroup.com/primo-explore/search?tab=default_tab&amp;search_scope=EVERYTHING&amp;vid=01CRU&amp;lang=en_US&amp;offset=0&amp;query=any,contains,991003731359702656","Catalog Record")</f>
        <v/>
      </c>
      <c r="AT151">
        <f>HYPERLINK("http://www.worldcat.org/oclc/47849464","WorldCat Record")</f>
        <v/>
      </c>
      <c r="AU151" t="inlineStr">
        <is>
          <t>796381513:eng</t>
        </is>
      </c>
      <c r="AV151" t="inlineStr">
        <is>
          <t>47849464</t>
        </is>
      </c>
      <c r="AW151" t="inlineStr">
        <is>
          <t>991003731359702656</t>
        </is>
      </c>
      <c r="AX151" t="inlineStr">
        <is>
          <t>991003731359702656</t>
        </is>
      </c>
      <c r="AY151" t="inlineStr">
        <is>
          <t>2261182890002656</t>
        </is>
      </c>
      <c r="AZ151" t="inlineStr">
        <is>
          <t>BOOK</t>
        </is>
      </c>
      <c r="BB151" t="inlineStr">
        <is>
          <t>9780465019120</t>
        </is>
      </c>
      <c r="BC151" t="inlineStr">
        <is>
          <t>32285004459086</t>
        </is>
      </c>
      <c r="BD151" t="inlineStr">
        <is>
          <t>893904488</t>
        </is>
      </c>
    </row>
    <row r="152">
      <c r="A152" t="inlineStr">
        <is>
          <t>No</t>
        </is>
      </c>
      <c r="B152" t="inlineStr">
        <is>
          <t>HV28.A35 L5 1968</t>
        </is>
      </c>
      <c r="C152" t="inlineStr">
        <is>
          <t>0                      HV 0028000A  35                 L  5           1968</t>
        </is>
      </c>
      <c r="D152" t="inlineStr">
        <is>
          <t>Jane Addams : a biography.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Linn, James Weber, 1876-1939.</t>
        </is>
      </c>
      <c r="L152" t="inlineStr">
        <is>
          <t>New York : Greenwood Press, 1968 [c1935]</t>
        </is>
      </c>
      <c r="M152" t="inlineStr">
        <is>
          <t>1968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HV </t>
        </is>
      </c>
      <c r="S152" t="n">
        <v>3</v>
      </c>
      <c r="T152" t="n">
        <v>3</v>
      </c>
      <c r="U152" t="inlineStr">
        <is>
          <t>1995-02-15</t>
        </is>
      </c>
      <c r="V152" t="inlineStr">
        <is>
          <t>1995-02-15</t>
        </is>
      </c>
      <c r="W152" t="inlineStr">
        <is>
          <t>1991-09-06</t>
        </is>
      </c>
      <c r="X152" t="inlineStr">
        <is>
          <t>1991-09-06</t>
        </is>
      </c>
      <c r="Y152" t="n">
        <v>252</v>
      </c>
      <c r="Z152" t="n">
        <v>237</v>
      </c>
      <c r="AA152" t="n">
        <v>1013</v>
      </c>
      <c r="AB152" t="n">
        <v>1</v>
      </c>
      <c r="AC152" t="n">
        <v>9</v>
      </c>
      <c r="AD152" t="n">
        <v>16</v>
      </c>
      <c r="AE152" t="n">
        <v>43</v>
      </c>
      <c r="AF152" t="n">
        <v>5</v>
      </c>
      <c r="AG152" t="n">
        <v>19</v>
      </c>
      <c r="AH152" t="n">
        <v>7</v>
      </c>
      <c r="AI152" t="n">
        <v>11</v>
      </c>
      <c r="AJ152" t="n">
        <v>8</v>
      </c>
      <c r="AK152" t="n">
        <v>16</v>
      </c>
      <c r="AL152" t="n">
        <v>0</v>
      </c>
      <c r="AM152" t="n">
        <v>7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HYPERLINK("http://catalog.hathitrust.org/Record/102068054","HathiTrust Record")</f>
        <v/>
      </c>
      <c r="AS152">
        <f>HYPERLINK("https://creighton-primo.hosted.exlibrisgroup.com/primo-explore/search?tab=default_tab&amp;search_scope=EVERYTHING&amp;vid=01CRU&amp;lang=en_US&amp;offset=0&amp;query=any,contains,991005435559702656","Catalog Record")</f>
        <v/>
      </c>
      <c r="AT152">
        <f>HYPERLINK("http://www.worldcat.org/oclc/3730","WorldCat Record")</f>
        <v/>
      </c>
      <c r="AU152" t="inlineStr">
        <is>
          <t>1592930:eng</t>
        </is>
      </c>
      <c r="AV152" t="inlineStr">
        <is>
          <t>3730</t>
        </is>
      </c>
      <c r="AW152" t="inlineStr">
        <is>
          <t>991005435559702656</t>
        </is>
      </c>
      <c r="AX152" t="inlineStr">
        <is>
          <t>991005435559702656</t>
        </is>
      </c>
      <c r="AY152" t="inlineStr">
        <is>
          <t>2265796740002656</t>
        </is>
      </c>
      <c r="AZ152" t="inlineStr">
        <is>
          <t>BOOK</t>
        </is>
      </c>
      <c r="BC152" t="inlineStr">
        <is>
          <t>32285000733914</t>
        </is>
      </c>
      <c r="BD152" t="inlineStr">
        <is>
          <t>893811109</t>
        </is>
      </c>
    </row>
    <row r="153">
      <c r="A153" t="inlineStr">
        <is>
          <t>No</t>
        </is>
      </c>
      <c r="B153" t="inlineStr">
        <is>
          <t>HV28.B7 H4</t>
        </is>
      </c>
      <c r="C153" t="inlineStr">
        <is>
          <t>0                      HV 0028000B  7                  H  4</t>
        </is>
      </c>
      <c r="D153" t="inlineStr">
        <is>
          <t>Lady unknown : the life of Angela Burdett-Coutts / Edna Healey.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Healey, Edna.</t>
        </is>
      </c>
      <c r="L153" t="inlineStr">
        <is>
          <t>London : Sidgwick &amp; Jackson, 1978.</t>
        </is>
      </c>
      <c r="M153" t="inlineStr">
        <is>
          <t>1978</t>
        </is>
      </c>
      <c r="O153" t="inlineStr">
        <is>
          <t>eng</t>
        </is>
      </c>
      <c r="P153" t="inlineStr">
        <is>
          <t xml:space="preserve">en </t>
        </is>
      </c>
      <c r="R153" t="inlineStr">
        <is>
          <t xml:space="preserve">HV </t>
        </is>
      </c>
      <c r="S153" t="n">
        <v>1</v>
      </c>
      <c r="T153" t="n">
        <v>1</v>
      </c>
      <c r="U153" t="inlineStr">
        <is>
          <t>2009-04-18</t>
        </is>
      </c>
      <c r="V153" t="inlineStr">
        <is>
          <t>2009-04-18</t>
        </is>
      </c>
      <c r="W153" t="inlineStr">
        <is>
          <t>1993-05-11</t>
        </is>
      </c>
      <c r="X153" t="inlineStr">
        <is>
          <t>1993-05-11</t>
        </is>
      </c>
      <c r="Y153" t="n">
        <v>249</v>
      </c>
      <c r="Z153" t="n">
        <v>89</v>
      </c>
      <c r="AA153" t="n">
        <v>333</v>
      </c>
      <c r="AB153" t="n">
        <v>3</v>
      </c>
      <c r="AC153" t="n">
        <v>3</v>
      </c>
      <c r="AD153" t="n">
        <v>2</v>
      </c>
      <c r="AE153" t="n">
        <v>8</v>
      </c>
      <c r="AF153" t="n">
        <v>0</v>
      </c>
      <c r="AG153" t="n">
        <v>5</v>
      </c>
      <c r="AH153" t="n">
        <v>0</v>
      </c>
      <c r="AI153" t="n">
        <v>2</v>
      </c>
      <c r="AJ153" t="n">
        <v>0</v>
      </c>
      <c r="AK153" t="n">
        <v>3</v>
      </c>
      <c r="AL153" t="n">
        <v>2</v>
      </c>
      <c r="AM153" t="n">
        <v>2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HYPERLINK("http://catalog.hathitrust.org/Record/000180168","HathiTrust Record")</f>
        <v/>
      </c>
      <c r="AS153">
        <f>HYPERLINK("https://creighton-primo.hosted.exlibrisgroup.com/primo-explore/search?tab=default_tab&amp;search_scope=EVERYTHING&amp;vid=01CRU&amp;lang=en_US&amp;offset=0&amp;query=any,contains,991004532419702656","Catalog Record")</f>
        <v/>
      </c>
      <c r="AT153">
        <f>HYPERLINK("http://www.worldcat.org/oclc/4134413","WorldCat Record")</f>
        <v/>
      </c>
      <c r="AU153" t="inlineStr">
        <is>
          <t>836657470:eng</t>
        </is>
      </c>
      <c r="AV153" t="inlineStr">
        <is>
          <t>4134413</t>
        </is>
      </c>
      <c r="AW153" t="inlineStr">
        <is>
          <t>991004532419702656</t>
        </is>
      </c>
      <c r="AX153" t="inlineStr">
        <is>
          <t>991004532419702656</t>
        </is>
      </c>
      <c r="AY153" t="inlineStr">
        <is>
          <t>2268612890002656</t>
        </is>
      </c>
      <c r="AZ153" t="inlineStr">
        <is>
          <t>BOOK</t>
        </is>
      </c>
      <c r="BB153" t="inlineStr">
        <is>
          <t>9780283983399</t>
        </is>
      </c>
      <c r="BC153" t="inlineStr">
        <is>
          <t>32285001680304</t>
        </is>
      </c>
      <c r="BD153" t="inlineStr">
        <is>
          <t>893353443</t>
        </is>
      </c>
    </row>
    <row r="154">
      <c r="A154" t="inlineStr">
        <is>
          <t>No</t>
        </is>
      </c>
      <c r="B154" t="inlineStr">
        <is>
          <t>HV28.D6 B75 1998</t>
        </is>
      </c>
      <c r="C154" t="inlineStr">
        <is>
          <t>0                      HV 0028000D  6                  B  75          1998</t>
        </is>
      </c>
      <c r="D154" t="inlineStr">
        <is>
          <t>Dorothea Dix : New England reformer / Thomas J. Brown.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Brown, Thomas J., 1960-</t>
        </is>
      </c>
      <c r="L154" t="inlineStr">
        <is>
          <t>Cambridge, Mass. : Harvard University Press, 1998.</t>
        </is>
      </c>
      <c r="M154" t="inlineStr">
        <is>
          <t>1998</t>
        </is>
      </c>
      <c r="O154" t="inlineStr">
        <is>
          <t>eng</t>
        </is>
      </c>
      <c r="P154" t="inlineStr">
        <is>
          <t>mau</t>
        </is>
      </c>
      <c r="Q154" t="inlineStr">
        <is>
          <t>Harvard historical studies ; 127</t>
        </is>
      </c>
      <c r="R154" t="inlineStr">
        <is>
          <t xml:space="preserve">HV </t>
        </is>
      </c>
      <c r="S154" t="n">
        <v>1</v>
      </c>
      <c r="T154" t="n">
        <v>1</v>
      </c>
      <c r="U154" t="inlineStr">
        <is>
          <t>2008-10-13</t>
        </is>
      </c>
      <c r="V154" t="inlineStr">
        <is>
          <t>2008-10-13</t>
        </is>
      </c>
      <c r="W154" t="inlineStr">
        <is>
          <t>1998-10-05</t>
        </is>
      </c>
      <c r="X154" t="inlineStr">
        <is>
          <t>1998-10-05</t>
        </is>
      </c>
      <c r="Y154" t="n">
        <v>769</v>
      </c>
      <c r="Z154" t="n">
        <v>711</v>
      </c>
      <c r="AA154" t="n">
        <v>713</v>
      </c>
      <c r="AB154" t="n">
        <v>6</v>
      </c>
      <c r="AC154" t="n">
        <v>6</v>
      </c>
      <c r="AD154" t="n">
        <v>35</v>
      </c>
      <c r="AE154" t="n">
        <v>35</v>
      </c>
      <c r="AF154" t="n">
        <v>15</v>
      </c>
      <c r="AG154" t="n">
        <v>15</v>
      </c>
      <c r="AH154" t="n">
        <v>8</v>
      </c>
      <c r="AI154" t="n">
        <v>8</v>
      </c>
      <c r="AJ154" t="n">
        <v>17</v>
      </c>
      <c r="AK154" t="n">
        <v>17</v>
      </c>
      <c r="AL154" t="n">
        <v>4</v>
      </c>
      <c r="AM154" t="n">
        <v>4</v>
      </c>
      <c r="AN154" t="n">
        <v>1</v>
      </c>
      <c r="AO154" t="n">
        <v>1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HYPERLINK("http://catalog.hathitrust.org/Record/003311401","HathiTrust Record")</f>
        <v/>
      </c>
      <c r="AS154">
        <f>HYPERLINK("https://creighton-primo.hosted.exlibrisgroup.com/primo-explore/search?tab=default_tab&amp;search_scope=EVERYTHING&amp;vid=01CRU&amp;lang=en_US&amp;offset=0&amp;query=any,contains,991002886819702656","Catalog Record")</f>
        <v/>
      </c>
      <c r="AT154">
        <f>HYPERLINK("http://www.worldcat.org/oclc/38042883","WorldCat Record")</f>
        <v/>
      </c>
      <c r="AU154" t="inlineStr">
        <is>
          <t>309525682:eng</t>
        </is>
      </c>
      <c r="AV154" t="inlineStr">
        <is>
          <t>38042883</t>
        </is>
      </c>
      <c r="AW154" t="inlineStr">
        <is>
          <t>991002886819702656</t>
        </is>
      </c>
      <c r="AX154" t="inlineStr">
        <is>
          <t>991002886819702656</t>
        </is>
      </c>
      <c r="AY154" t="inlineStr">
        <is>
          <t>2263619340002656</t>
        </is>
      </c>
      <c r="AZ154" t="inlineStr">
        <is>
          <t>BOOK</t>
        </is>
      </c>
      <c r="BB154" t="inlineStr">
        <is>
          <t>9780674214880</t>
        </is>
      </c>
      <c r="BC154" t="inlineStr">
        <is>
          <t>32285003471447</t>
        </is>
      </c>
      <c r="BD154" t="inlineStr">
        <is>
          <t>893227401</t>
        </is>
      </c>
    </row>
    <row r="155">
      <c r="A155" t="inlineStr">
        <is>
          <t>No</t>
        </is>
      </c>
      <c r="B155" t="inlineStr">
        <is>
          <t>HV28.D6 G65 1995</t>
        </is>
      </c>
      <c r="C155" t="inlineStr">
        <is>
          <t>0                      HV 0028000D  6                  G  65          1995</t>
        </is>
      </c>
      <c r="D155" t="inlineStr">
        <is>
          <t>Voice for the mad : the life of Dorothea Dix / David Gollaher.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Gollaher, David, 1949-</t>
        </is>
      </c>
      <c r="L155" t="inlineStr">
        <is>
          <t>New York : Free Press, c1995.</t>
        </is>
      </c>
      <c r="M155" t="inlineStr">
        <is>
          <t>1995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HV </t>
        </is>
      </c>
      <c r="S155" t="n">
        <v>4</v>
      </c>
      <c r="T155" t="n">
        <v>4</v>
      </c>
      <c r="U155" t="inlineStr">
        <is>
          <t>2006-11-21</t>
        </is>
      </c>
      <c r="V155" t="inlineStr">
        <is>
          <t>2006-11-21</t>
        </is>
      </c>
      <c r="W155" t="inlineStr">
        <is>
          <t>1995-10-23</t>
        </is>
      </c>
      <c r="X155" t="inlineStr">
        <is>
          <t>1995-10-23</t>
        </is>
      </c>
      <c r="Y155" t="n">
        <v>1148</v>
      </c>
      <c r="Z155" t="n">
        <v>1088</v>
      </c>
      <c r="AA155" t="n">
        <v>1095</v>
      </c>
      <c r="AB155" t="n">
        <v>9</v>
      </c>
      <c r="AC155" t="n">
        <v>9</v>
      </c>
      <c r="AD155" t="n">
        <v>39</v>
      </c>
      <c r="AE155" t="n">
        <v>39</v>
      </c>
      <c r="AF155" t="n">
        <v>19</v>
      </c>
      <c r="AG155" t="n">
        <v>19</v>
      </c>
      <c r="AH155" t="n">
        <v>7</v>
      </c>
      <c r="AI155" t="n">
        <v>7</v>
      </c>
      <c r="AJ155" t="n">
        <v>16</v>
      </c>
      <c r="AK155" t="n">
        <v>16</v>
      </c>
      <c r="AL155" t="n">
        <v>5</v>
      </c>
      <c r="AM155" t="n">
        <v>5</v>
      </c>
      <c r="AN155" t="n">
        <v>1</v>
      </c>
      <c r="AO155" t="n">
        <v>1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HYPERLINK("http://catalog.hathitrust.org/Record/002991229","HathiTrust Record")</f>
        <v/>
      </c>
      <c r="AS155">
        <f>HYPERLINK("https://creighton-primo.hosted.exlibrisgroup.com/primo-explore/search?tab=default_tab&amp;search_scope=EVERYTHING&amp;vid=01CRU&amp;lang=en_US&amp;offset=0&amp;query=any,contains,991002461749702656","Catalog Record")</f>
        <v/>
      </c>
      <c r="AT155">
        <f>HYPERLINK("http://www.worldcat.org/oclc/32085754","WorldCat Record")</f>
        <v/>
      </c>
      <c r="AU155" t="inlineStr">
        <is>
          <t>289851030:eng</t>
        </is>
      </c>
      <c r="AV155" t="inlineStr">
        <is>
          <t>32085754</t>
        </is>
      </c>
      <c r="AW155" t="inlineStr">
        <is>
          <t>991002461749702656</t>
        </is>
      </c>
      <c r="AX155" t="inlineStr">
        <is>
          <t>991002461749702656</t>
        </is>
      </c>
      <c r="AY155" t="inlineStr">
        <is>
          <t>2272326380002656</t>
        </is>
      </c>
      <c r="AZ155" t="inlineStr">
        <is>
          <t>BOOK</t>
        </is>
      </c>
      <c r="BB155" t="inlineStr">
        <is>
          <t>9780029123997</t>
        </is>
      </c>
      <c r="BC155" t="inlineStr">
        <is>
          <t>32285002097250</t>
        </is>
      </c>
      <c r="BD155" t="inlineStr">
        <is>
          <t>893433918</t>
        </is>
      </c>
    </row>
    <row r="156">
      <c r="A156" t="inlineStr">
        <is>
          <t>No</t>
        </is>
      </c>
      <c r="B156" t="inlineStr">
        <is>
          <t>HV28.D6 M3 1967</t>
        </is>
      </c>
      <c r="C156" t="inlineStr">
        <is>
          <t>0                      HV 0028000D  6                  M  3           1967</t>
        </is>
      </c>
      <c r="D156" t="inlineStr">
        <is>
          <t>Dorothea Dix, forgotten Samaritan, by Helen E. Marshall.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Marshall, Hélène.</t>
        </is>
      </c>
      <c r="L156" t="inlineStr">
        <is>
          <t>New York, Russell &amp; Russell [1967, c1937]</t>
        </is>
      </c>
      <c r="M156" t="inlineStr">
        <is>
          <t>1967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HV </t>
        </is>
      </c>
      <c r="S156" t="n">
        <v>1</v>
      </c>
      <c r="T156" t="n">
        <v>1</v>
      </c>
      <c r="U156" t="inlineStr">
        <is>
          <t>2007-10-24</t>
        </is>
      </c>
      <c r="V156" t="inlineStr">
        <is>
          <t>2007-10-24</t>
        </is>
      </c>
      <c r="W156" t="inlineStr">
        <is>
          <t>1997-08-19</t>
        </is>
      </c>
      <c r="X156" t="inlineStr">
        <is>
          <t>1997-08-19</t>
        </is>
      </c>
      <c r="Y156" t="n">
        <v>415</v>
      </c>
      <c r="Z156" t="n">
        <v>389</v>
      </c>
      <c r="AA156" t="n">
        <v>699</v>
      </c>
      <c r="AB156" t="n">
        <v>3</v>
      </c>
      <c r="AC156" t="n">
        <v>7</v>
      </c>
      <c r="AD156" t="n">
        <v>19</v>
      </c>
      <c r="AE156" t="n">
        <v>29</v>
      </c>
      <c r="AF156" t="n">
        <v>8</v>
      </c>
      <c r="AG156" t="n">
        <v>11</v>
      </c>
      <c r="AH156" t="n">
        <v>3</v>
      </c>
      <c r="AI156" t="n">
        <v>4</v>
      </c>
      <c r="AJ156" t="n">
        <v>10</v>
      </c>
      <c r="AK156" t="n">
        <v>12</v>
      </c>
      <c r="AL156" t="n">
        <v>2</v>
      </c>
      <c r="AM156" t="n">
        <v>6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HYPERLINK("http://catalog.hathitrust.org/Record/001131239","HathiTrust Record")</f>
        <v/>
      </c>
      <c r="AS156">
        <f>HYPERLINK("https://creighton-primo.hosted.exlibrisgroup.com/primo-explore/search?tab=default_tab&amp;search_scope=EVERYTHING&amp;vid=01CRU&amp;lang=en_US&amp;offset=0&amp;query=any,contains,991002052759702656","Catalog Record")</f>
        <v/>
      </c>
      <c r="AT156">
        <f>HYPERLINK("http://www.worldcat.org/oclc/262052","WorldCat Record")</f>
        <v/>
      </c>
      <c r="AU156" t="inlineStr">
        <is>
          <t>236295714:eng</t>
        </is>
      </c>
      <c r="AV156" t="inlineStr">
        <is>
          <t>262052</t>
        </is>
      </c>
      <c r="AW156" t="inlineStr">
        <is>
          <t>991002052759702656</t>
        </is>
      </c>
      <c r="AX156" t="inlineStr">
        <is>
          <t>991002052759702656</t>
        </is>
      </c>
      <c r="AY156" t="inlineStr">
        <is>
          <t>2266760420002656</t>
        </is>
      </c>
      <c r="AZ156" t="inlineStr">
        <is>
          <t>BOOK</t>
        </is>
      </c>
      <c r="BC156" t="inlineStr">
        <is>
          <t>32285003149563</t>
        </is>
      </c>
      <c r="BD156" t="inlineStr">
        <is>
          <t>893340974</t>
        </is>
      </c>
    </row>
    <row r="157">
      <c r="A157" t="inlineStr">
        <is>
          <t>No</t>
        </is>
      </c>
      <c r="B157" t="inlineStr">
        <is>
          <t>HV28.D6 S35 1991</t>
        </is>
      </c>
      <c r="C157" t="inlineStr">
        <is>
          <t>0                      HV 0028000D  6                  S  35          1991</t>
        </is>
      </c>
      <c r="D157" t="inlineStr">
        <is>
          <t>Heart's work : Civil War heroine and champion of the mentally ill, Dorothea Lynde Dix / Charles Schlaifer and Lucy Freeman.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Schlaifer, Charles.</t>
        </is>
      </c>
      <c r="L157" t="inlineStr">
        <is>
          <t>New York : Paragon House, 1991.</t>
        </is>
      </c>
      <c r="M157" t="inlineStr">
        <is>
          <t>1991</t>
        </is>
      </c>
      <c r="N157" t="inlineStr">
        <is>
          <t>1st ed.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HV </t>
        </is>
      </c>
      <c r="S157" t="n">
        <v>6</v>
      </c>
      <c r="T157" t="n">
        <v>6</v>
      </c>
      <c r="U157" t="inlineStr">
        <is>
          <t>2006-11-21</t>
        </is>
      </c>
      <c r="V157" t="inlineStr">
        <is>
          <t>2006-11-21</t>
        </is>
      </c>
      <c r="W157" t="inlineStr">
        <is>
          <t>1992-05-08</t>
        </is>
      </c>
      <c r="X157" t="inlineStr">
        <is>
          <t>1992-05-08</t>
        </is>
      </c>
      <c r="Y157" t="n">
        <v>536</v>
      </c>
      <c r="Z157" t="n">
        <v>517</v>
      </c>
      <c r="AA157" t="n">
        <v>518</v>
      </c>
      <c r="AB157" t="n">
        <v>3</v>
      </c>
      <c r="AC157" t="n">
        <v>3</v>
      </c>
      <c r="AD157" t="n">
        <v>16</v>
      </c>
      <c r="AE157" t="n">
        <v>16</v>
      </c>
      <c r="AF157" t="n">
        <v>5</v>
      </c>
      <c r="AG157" t="n">
        <v>5</v>
      </c>
      <c r="AH157" t="n">
        <v>4</v>
      </c>
      <c r="AI157" t="n">
        <v>4</v>
      </c>
      <c r="AJ157" t="n">
        <v>10</v>
      </c>
      <c r="AK157" t="n">
        <v>10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HYPERLINK("https://creighton-primo.hosted.exlibrisgroup.com/primo-explore/search?tab=default_tab&amp;search_scope=EVERYTHING&amp;vid=01CRU&amp;lang=en_US&amp;offset=0&amp;query=any,contains,991001855839702656","Catalog Record")</f>
        <v/>
      </c>
      <c r="AT157">
        <f>HYPERLINK("http://www.worldcat.org/oclc/23287000","WorldCat Record")</f>
        <v/>
      </c>
      <c r="AU157" t="inlineStr">
        <is>
          <t>196071915:eng</t>
        </is>
      </c>
      <c r="AV157" t="inlineStr">
        <is>
          <t>23287000</t>
        </is>
      </c>
      <c r="AW157" t="inlineStr">
        <is>
          <t>991001855839702656</t>
        </is>
      </c>
      <c r="AX157" t="inlineStr">
        <is>
          <t>991001855839702656</t>
        </is>
      </c>
      <c r="AY157" t="inlineStr">
        <is>
          <t>2272036430002656</t>
        </is>
      </c>
      <c r="AZ157" t="inlineStr">
        <is>
          <t>BOOK</t>
        </is>
      </c>
      <c r="BB157" t="inlineStr">
        <is>
          <t>9781557784193</t>
        </is>
      </c>
      <c r="BC157" t="inlineStr">
        <is>
          <t>32285001038958</t>
        </is>
      </c>
      <c r="BD157" t="inlineStr">
        <is>
          <t>893797875</t>
        </is>
      </c>
    </row>
    <row r="158">
      <c r="A158" t="inlineStr">
        <is>
          <t>No</t>
        </is>
      </c>
      <c r="B158" t="inlineStr">
        <is>
          <t>HV29 .A28 2006</t>
        </is>
      </c>
      <c r="C158" t="inlineStr">
        <is>
          <t>0                      HV 0029000A  28          2006</t>
        </is>
      </c>
      <c r="D158" t="inlineStr">
        <is>
          <t>Using statistical methods in social work practice : a complete SPSS guide / Soleman H. Abu-Bader.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Abu-Bader, Soleman H., 1965-</t>
        </is>
      </c>
      <c r="L158" t="inlineStr">
        <is>
          <t>Chicago, Ill. : Lyceum Books, c2006.</t>
        </is>
      </c>
      <c r="M158" t="inlineStr">
        <is>
          <t>2006</t>
        </is>
      </c>
      <c r="O158" t="inlineStr">
        <is>
          <t>eng</t>
        </is>
      </c>
      <c r="P158" t="inlineStr">
        <is>
          <t>ilu</t>
        </is>
      </c>
      <c r="R158" t="inlineStr">
        <is>
          <t xml:space="preserve">HV </t>
        </is>
      </c>
      <c r="S158" t="n">
        <v>2</v>
      </c>
      <c r="T158" t="n">
        <v>2</v>
      </c>
      <c r="U158" t="inlineStr">
        <is>
          <t>2006-10-26</t>
        </is>
      </c>
      <c r="V158" t="inlineStr">
        <is>
          <t>2006-10-26</t>
        </is>
      </c>
      <c r="W158" t="inlineStr">
        <is>
          <t>2006-10-26</t>
        </is>
      </c>
      <c r="X158" t="inlineStr">
        <is>
          <t>2006-10-26</t>
        </is>
      </c>
      <c r="Y158" t="n">
        <v>133</v>
      </c>
      <c r="Z158" t="n">
        <v>100</v>
      </c>
      <c r="AA158" t="n">
        <v>101</v>
      </c>
      <c r="AB158" t="n">
        <v>3</v>
      </c>
      <c r="AC158" t="n">
        <v>3</v>
      </c>
      <c r="AD158" t="n">
        <v>8</v>
      </c>
      <c r="AE158" t="n">
        <v>8</v>
      </c>
      <c r="AF158" t="n">
        <v>2</v>
      </c>
      <c r="AG158" t="n">
        <v>2</v>
      </c>
      <c r="AH158" t="n">
        <v>1</v>
      </c>
      <c r="AI158" t="n">
        <v>1</v>
      </c>
      <c r="AJ158" t="n">
        <v>5</v>
      </c>
      <c r="AK158" t="n">
        <v>5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HYPERLINK("https://creighton-primo.hosted.exlibrisgroup.com/primo-explore/search?tab=default_tab&amp;search_scope=EVERYTHING&amp;vid=01CRU&amp;lang=en_US&amp;offset=0&amp;query=any,contains,991004926389702656","Catalog Record")</f>
        <v/>
      </c>
      <c r="AT158">
        <f>HYPERLINK("http://www.worldcat.org/oclc/58789099","WorldCat Record")</f>
        <v/>
      </c>
      <c r="AU158" t="inlineStr">
        <is>
          <t>479095300:eng</t>
        </is>
      </c>
      <c r="AV158" t="inlineStr">
        <is>
          <t>58789099</t>
        </is>
      </c>
      <c r="AW158" t="inlineStr">
        <is>
          <t>991004926389702656</t>
        </is>
      </c>
      <c r="AX158" t="inlineStr">
        <is>
          <t>991004926389702656</t>
        </is>
      </c>
      <c r="AY158" t="inlineStr">
        <is>
          <t>2267642070002656</t>
        </is>
      </c>
      <c r="AZ158" t="inlineStr">
        <is>
          <t>BOOK</t>
        </is>
      </c>
      <c r="BB158" t="inlineStr">
        <is>
          <t>9780925065902</t>
        </is>
      </c>
      <c r="BC158" t="inlineStr">
        <is>
          <t>32285005233472</t>
        </is>
      </c>
      <c r="BD158" t="inlineStr">
        <is>
          <t>893901906</t>
        </is>
      </c>
    </row>
    <row r="159">
      <c r="A159" t="inlineStr">
        <is>
          <t>No</t>
        </is>
      </c>
      <c r="B159" t="inlineStr">
        <is>
          <t>HV29.2 .S36 1999</t>
        </is>
      </c>
      <c r="C159" t="inlineStr">
        <is>
          <t>0                      HV 0029200S  36          1999</t>
        </is>
      </c>
      <c r="D159" t="inlineStr">
        <is>
          <t>Human services technology : understanding, designing, and implementing computer and Internet applications in the social services / Dick Schoech.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Schoech, Dick.</t>
        </is>
      </c>
      <c r="L159" t="inlineStr">
        <is>
          <t>New York : Haworth Press, c1999.</t>
        </is>
      </c>
      <c r="M159" t="inlineStr">
        <is>
          <t>1999</t>
        </is>
      </c>
      <c r="N159" t="inlineStr">
        <is>
          <t>2nd ed. of Human services computing : concepts and applications.</t>
        </is>
      </c>
      <c r="O159" t="inlineStr">
        <is>
          <t>eng</t>
        </is>
      </c>
      <c r="P159" t="inlineStr">
        <is>
          <t>nyu</t>
        </is>
      </c>
      <c r="Q159" t="inlineStr">
        <is>
          <t>Haworth social administration</t>
        </is>
      </c>
      <c r="R159" t="inlineStr">
        <is>
          <t xml:space="preserve">HV </t>
        </is>
      </c>
      <c r="S159" t="n">
        <v>1</v>
      </c>
      <c r="T159" t="n">
        <v>1</v>
      </c>
      <c r="U159" t="inlineStr">
        <is>
          <t>2008-06-09</t>
        </is>
      </c>
      <c r="V159" t="inlineStr">
        <is>
          <t>2008-06-09</t>
        </is>
      </c>
      <c r="W159" t="inlineStr">
        <is>
          <t>2000-01-25</t>
        </is>
      </c>
      <c r="X159" t="inlineStr">
        <is>
          <t>2000-01-25</t>
        </is>
      </c>
      <c r="Y159" t="n">
        <v>164</v>
      </c>
      <c r="Z159" t="n">
        <v>134</v>
      </c>
      <c r="AA159" t="n">
        <v>156</v>
      </c>
      <c r="AB159" t="n">
        <v>2</v>
      </c>
      <c r="AC159" t="n">
        <v>2</v>
      </c>
      <c r="AD159" t="n">
        <v>4</v>
      </c>
      <c r="AE159" t="n">
        <v>4</v>
      </c>
      <c r="AF159" t="n">
        <v>1</v>
      </c>
      <c r="AG159" t="n">
        <v>1</v>
      </c>
      <c r="AH159" t="n">
        <v>1</v>
      </c>
      <c r="AI159" t="n">
        <v>1</v>
      </c>
      <c r="AJ159" t="n">
        <v>2</v>
      </c>
      <c r="AK159" t="n">
        <v>2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HYPERLINK("http://catalog.hathitrust.org/Record/004033148","HathiTrust Record")</f>
        <v/>
      </c>
      <c r="AS159">
        <f>HYPERLINK("https://creighton-primo.hosted.exlibrisgroup.com/primo-explore/search?tab=default_tab&amp;search_scope=EVERYTHING&amp;vid=01CRU&amp;lang=en_US&amp;offset=0&amp;query=any,contains,991002985329702656","Catalog Record")</f>
        <v/>
      </c>
      <c r="AT159">
        <f>HYPERLINK("http://www.worldcat.org/oclc/40200524","WorldCat Record")</f>
        <v/>
      </c>
      <c r="AU159" t="inlineStr">
        <is>
          <t>476305292:eng</t>
        </is>
      </c>
      <c r="AV159" t="inlineStr">
        <is>
          <t>40200524</t>
        </is>
      </c>
      <c r="AW159" t="inlineStr">
        <is>
          <t>991002985329702656</t>
        </is>
      </c>
      <c r="AX159" t="inlineStr">
        <is>
          <t>991002985329702656</t>
        </is>
      </c>
      <c r="AY159" t="inlineStr">
        <is>
          <t>2267366410002656</t>
        </is>
      </c>
      <c r="AZ159" t="inlineStr">
        <is>
          <t>BOOK</t>
        </is>
      </c>
      <c r="BB159" t="inlineStr">
        <is>
          <t>9780789001085</t>
        </is>
      </c>
      <c r="BC159" t="inlineStr">
        <is>
          <t>32285003644050</t>
        </is>
      </c>
      <c r="BD159" t="inlineStr">
        <is>
          <t>893592046</t>
        </is>
      </c>
    </row>
    <row r="160">
      <c r="A160" t="inlineStr">
        <is>
          <t>No</t>
        </is>
      </c>
      <c r="B160" t="inlineStr">
        <is>
          <t>HV3000 .C63</t>
        </is>
      </c>
      <c r="C160" t="inlineStr">
        <is>
          <t>0                      HV 3000000C  63</t>
        </is>
      </c>
      <c r="D160" t="inlineStr">
        <is>
          <t>Special people : a brighter future for everyone with physical, mental, and emotional disabilities / Shirley Cohen.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Cohen, Shirley.</t>
        </is>
      </c>
      <c r="L160" t="inlineStr">
        <is>
          <t>Englewood Cliffs, N.J. : Prentice-Hall, c1977.</t>
        </is>
      </c>
      <c r="M160" t="inlineStr">
        <is>
          <t>1977</t>
        </is>
      </c>
      <c r="O160" t="inlineStr">
        <is>
          <t>eng</t>
        </is>
      </c>
      <c r="P160" t="inlineStr">
        <is>
          <t>nju</t>
        </is>
      </c>
      <c r="Q160" t="inlineStr">
        <is>
          <t>A Spectrum book</t>
        </is>
      </c>
      <c r="R160" t="inlineStr">
        <is>
          <t xml:space="preserve">HV </t>
        </is>
      </c>
      <c r="S160" t="n">
        <v>12</v>
      </c>
      <c r="T160" t="n">
        <v>12</v>
      </c>
      <c r="U160" t="inlineStr">
        <is>
          <t>1998-12-18</t>
        </is>
      </c>
      <c r="V160" t="inlineStr">
        <is>
          <t>1998-12-18</t>
        </is>
      </c>
      <c r="W160" t="inlineStr">
        <is>
          <t>1990-02-19</t>
        </is>
      </c>
      <c r="X160" t="inlineStr">
        <is>
          <t>1990-02-19</t>
        </is>
      </c>
      <c r="Y160" t="n">
        <v>442</v>
      </c>
      <c r="Z160" t="n">
        <v>390</v>
      </c>
      <c r="AA160" t="n">
        <v>398</v>
      </c>
      <c r="AB160" t="n">
        <v>8</v>
      </c>
      <c r="AC160" t="n">
        <v>8</v>
      </c>
      <c r="AD160" t="n">
        <v>16</v>
      </c>
      <c r="AE160" t="n">
        <v>16</v>
      </c>
      <c r="AF160" t="n">
        <v>6</v>
      </c>
      <c r="AG160" t="n">
        <v>6</v>
      </c>
      <c r="AH160" t="n">
        <v>3</v>
      </c>
      <c r="AI160" t="n">
        <v>3</v>
      </c>
      <c r="AJ160" t="n">
        <v>6</v>
      </c>
      <c r="AK160" t="n">
        <v>6</v>
      </c>
      <c r="AL160" t="n">
        <v>4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HYPERLINK("http://catalog.hathitrust.org/Record/000210533","HathiTrust Record")</f>
        <v/>
      </c>
      <c r="AS160">
        <f>HYPERLINK("https://creighton-primo.hosted.exlibrisgroup.com/primo-explore/search?tab=default_tab&amp;search_scope=EVERYTHING&amp;vid=01CRU&amp;lang=en_US&amp;offset=0&amp;query=any,contains,991004253249702656","Catalog Record")</f>
        <v/>
      </c>
      <c r="AT160">
        <f>HYPERLINK("http://www.worldcat.org/oclc/2818293","WorldCat Record")</f>
        <v/>
      </c>
      <c r="AU160" t="inlineStr">
        <is>
          <t>864103625:eng</t>
        </is>
      </c>
      <c r="AV160" t="inlineStr">
        <is>
          <t>2818293</t>
        </is>
      </c>
      <c r="AW160" t="inlineStr">
        <is>
          <t>991004253249702656</t>
        </is>
      </c>
      <c r="AX160" t="inlineStr">
        <is>
          <t>991004253249702656</t>
        </is>
      </c>
      <c r="AY160" t="inlineStr">
        <is>
          <t>2265195840002656</t>
        </is>
      </c>
      <c r="AZ160" t="inlineStr">
        <is>
          <t>BOOK</t>
        </is>
      </c>
      <c r="BB160" t="inlineStr">
        <is>
          <t>9780138265113</t>
        </is>
      </c>
      <c r="BC160" t="inlineStr">
        <is>
          <t>32285000048354</t>
        </is>
      </c>
      <c r="BD160" t="inlineStr">
        <is>
          <t>893687531</t>
        </is>
      </c>
    </row>
    <row r="161">
      <c r="A161" t="inlineStr">
        <is>
          <t>No</t>
        </is>
      </c>
      <c r="B161" t="inlineStr">
        <is>
          <t>HV3000 .M35</t>
        </is>
      </c>
      <c r="C161" t="inlineStr">
        <is>
          <t>0                      HV 3000000M  35</t>
        </is>
      </c>
      <c r="D161" t="inlineStr">
        <is>
          <t>Mental retardation in school and society / Donald L. MacMillan.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MacMillan, Donald L.</t>
        </is>
      </c>
      <c r="L161" t="inlineStr">
        <is>
          <t>Boston : Little, Brown, c1977.</t>
        </is>
      </c>
      <c r="M161" t="inlineStr">
        <is>
          <t>1977</t>
        </is>
      </c>
      <c r="O161" t="inlineStr">
        <is>
          <t>eng</t>
        </is>
      </c>
      <c r="P161" t="inlineStr">
        <is>
          <t>mau</t>
        </is>
      </c>
      <c r="R161" t="inlineStr">
        <is>
          <t xml:space="preserve">HV </t>
        </is>
      </c>
      <c r="S161" t="n">
        <v>11</v>
      </c>
      <c r="T161" t="n">
        <v>11</v>
      </c>
      <c r="U161" t="inlineStr">
        <is>
          <t>2004-04-21</t>
        </is>
      </c>
      <c r="V161" t="inlineStr">
        <is>
          <t>2004-04-21</t>
        </is>
      </c>
      <c r="W161" t="inlineStr">
        <is>
          <t>1991-12-16</t>
        </is>
      </c>
      <c r="X161" t="inlineStr">
        <is>
          <t>1991-12-16</t>
        </is>
      </c>
      <c r="Y161" t="n">
        <v>267</v>
      </c>
      <c r="Z161" t="n">
        <v>240</v>
      </c>
      <c r="AA161" t="n">
        <v>378</v>
      </c>
      <c r="AB161" t="n">
        <v>3</v>
      </c>
      <c r="AC161" t="n">
        <v>4</v>
      </c>
      <c r="AD161" t="n">
        <v>7</v>
      </c>
      <c r="AE161" t="n">
        <v>13</v>
      </c>
      <c r="AF161" t="n">
        <v>3</v>
      </c>
      <c r="AG161" t="n">
        <v>5</v>
      </c>
      <c r="AH161" t="n">
        <v>0</v>
      </c>
      <c r="AI161" t="n">
        <v>2</v>
      </c>
      <c r="AJ161" t="n">
        <v>4</v>
      </c>
      <c r="AK161" t="n">
        <v>7</v>
      </c>
      <c r="AL161" t="n">
        <v>1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HYPERLINK("http://catalog.hathitrust.org/Record/009913228","HathiTrust Record")</f>
        <v/>
      </c>
      <c r="AS161">
        <f>HYPERLINK("https://creighton-primo.hosted.exlibrisgroup.com/primo-explore/search?tab=default_tab&amp;search_scope=EVERYTHING&amp;vid=01CRU&amp;lang=en_US&amp;offset=0&amp;query=any,contains,991004395499702656","Catalog Record")</f>
        <v/>
      </c>
      <c r="AT161">
        <f>HYPERLINK("http://www.worldcat.org/oclc/3276152","WorldCat Record")</f>
        <v/>
      </c>
      <c r="AU161" t="inlineStr">
        <is>
          <t>9330137:eng</t>
        </is>
      </c>
      <c r="AV161" t="inlineStr">
        <is>
          <t>3276152</t>
        </is>
      </c>
      <c r="AW161" t="inlineStr">
        <is>
          <t>991004395499702656</t>
        </is>
      </c>
      <c r="AX161" t="inlineStr">
        <is>
          <t>991004395499702656</t>
        </is>
      </c>
      <c r="AY161" t="inlineStr">
        <is>
          <t>2256744850002656</t>
        </is>
      </c>
      <c r="AZ161" t="inlineStr">
        <is>
          <t>BOOK</t>
        </is>
      </c>
      <c r="BC161" t="inlineStr">
        <is>
          <t>32285000879667</t>
        </is>
      </c>
      <c r="BD161" t="inlineStr">
        <is>
          <t>893882426</t>
        </is>
      </c>
    </row>
    <row r="162">
      <c r="A162" t="inlineStr">
        <is>
          <t>No</t>
        </is>
      </c>
      <c r="B162" t="inlineStr">
        <is>
          <t>HV3004 .B43</t>
        </is>
      </c>
      <c r="C162" t="inlineStr">
        <is>
          <t>0                      HV 3004000B  43</t>
        </is>
      </c>
      <c r="D162" t="inlineStr">
        <is>
          <t>Social services to the mentally retarded / by Helen L. Beck.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Beck, Helen L. (Helen Louise)</t>
        </is>
      </c>
      <c r="L162" t="inlineStr">
        <is>
          <t>Springfield, Ill. : Thomas, [1969]</t>
        </is>
      </c>
      <c r="M162" t="inlineStr">
        <is>
          <t>1969</t>
        </is>
      </c>
      <c r="O162" t="inlineStr">
        <is>
          <t>eng</t>
        </is>
      </c>
      <c r="P162" t="inlineStr">
        <is>
          <t>ilu</t>
        </is>
      </c>
      <c r="R162" t="inlineStr">
        <is>
          <t xml:space="preserve">HV </t>
        </is>
      </c>
      <c r="S162" t="n">
        <v>2</v>
      </c>
      <c r="T162" t="n">
        <v>2</v>
      </c>
      <c r="U162" t="inlineStr">
        <is>
          <t>1993-10-07</t>
        </is>
      </c>
      <c r="V162" t="inlineStr">
        <is>
          <t>1993-10-07</t>
        </is>
      </c>
      <c r="W162" t="inlineStr">
        <is>
          <t>1991-12-17</t>
        </is>
      </c>
      <c r="X162" t="inlineStr">
        <is>
          <t>1991-12-17</t>
        </is>
      </c>
      <c r="Y162" t="n">
        <v>331</v>
      </c>
      <c r="Z162" t="n">
        <v>292</v>
      </c>
      <c r="AA162" t="n">
        <v>294</v>
      </c>
      <c r="AB162" t="n">
        <v>4</v>
      </c>
      <c r="AC162" t="n">
        <v>4</v>
      </c>
      <c r="AD162" t="n">
        <v>16</v>
      </c>
      <c r="AE162" t="n">
        <v>16</v>
      </c>
      <c r="AF162" t="n">
        <v>6</v>
      </c>
      <c r="AG162" t="n">
        <v>6</v>
      </c>
      <c r="AH162" t="n">
        <v>2</v>
      </c>
      <c r="AI162" t="n">
        <v>2</v>
      </c>
      <c r="AJ162" t="n">
        <v>7</v>
      </c>
      <c r="AK162" t="n">
        <v>7</v>
      </c>
      <c r="AL162" t="n">
        <v>3</v>
      </c>
      <c r="AM162" t="n">
        <v>3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HYPERLINK("http://catalog.hathitrust.org/Record/001133173","HathiTrust Record")</f>
        <v/>
      </c>
      <c r="AS162">
        <f>HYPERLINK("https://creighton-primo.hosted.exlibrisgroup.com/primo-explore/search?tab=default_tab&amp;search_scope=EVERYTHING&amp;vid=01CRU&amp;lang=en_US&amp;offset=0&amp;query=any,contains,991002078369702656","Catalog Record")</f>
        <v/>
      </c>
      <c r="AT162">
        <f>HYPERLINK("http://www.worldcat.org/oclc/264033","WorldCat Record")</f>
        <v/>
      </c>
      <c r="AU162" t="inlineStr">
        <is>
          <t>1378786:eng</t>
        </is>
      </c>
      <c r="AV162" t="inlineStr">
        <is>
          <t>264033</t>
        </is>
      </c>
      <c r="AW162" t="inlineStr">
        <is>
          <t>991002078369702656</t>
        </is>
      </c>
      <c r="AX162" t="inlineStr">
        <is>
          <t>991002078369702656</t>
        </is>
      </c>
      <c r="AY162" t="inlineStr">
        <is>
          <t>2268240520002656</t>
        </is>
      </c>
      <c r="AZ162" t="inlineStr">
        <is>
          <t>BOOK</t>
        </is>
      </c>
      <c r="BC162" t="inlineStr">
        <is>
          <t>32285000879659</t>
        </is>
      </c>
      <c r="BD162" t="inlineStr">
        <is>
          <t>893684925</t>
        </is>
      </c>
    </row>
    <row r="163">
      <c r="A163" t="inlineStr">
        <is>
          <t>No</t>
        </is>
      </c>
      <c r="B163" t="inlineStr">
        <is>
          <t>HV3004 .C44</t>
        </is>
      </c>
      <c r="C163" t="inlineStr">
        <is>
          <t>0                      HV 3004000C  44</t>
        </is>
      </c>
      <c r="D163" t="inlineStr">
        <is>
          <t>Mental retardation : from catagories to people / Patricia T. Cegelka, Herbert Prehm.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Cegelka, Patricia Thomas.</t>
        </is>
      </c>
      <c r="L163" t="inlineStr">
        <is>
          <t>Columbus : C.E. Merrill, c1982.</t>
        </is>
      </c>
      <c r="M163" t="inlineStr">
        <is>
          <t>1982</t>
        </is>
      </c>
      <c r="O163" t="inlineStr">
        <is>
          <t>eng</t>
        </is>
      </c>
      <c r="P163" t="inlineStr">
        <is>
          <t>ohu</t>
        </is>
      </c>
      <c r="R163" t="inlineStr">
        <is>
          <t xml:space="preserve">HV </t>
        </is>
      </c>
      <c r="S163" t="n">
        <v>7</v>
      </c>
      <c r="T163" t="n">
        <v>7</v>
      </c>
      <c r="U163" t="inlineStr">
        <is>
          <t>2003-02-06</t>
        </is>
      </c>
      <c r="V163" t="inlineStr">
        <is>
          <t>2003-02-06</t>
        </is>
      </c>
      <c r="W163" t="inlineStr">
        <is>
          <t>1992-06-29</t>
        </is>
      </c>
      <c r="X163" t="inlineStr">
        <is>
          <t>1992-06-29</t>
        </is>
      </c>
      <c r="Y163" t="n">
        <v>227</v>
      </c>
      <c r="Z163" t="n">
        <v>178</v>
      </c>
      <c r="AA163" t="n">
        <v>180</v>
      </c>
      <c r="AB163" t="n">
        <v>3</v>
      </c>
      <c r="AC163" t="n">
        <v>3</v>
      </c>
      <c r="AD163" t="n">
        <v>6</v>
      </c>
      <c r="AE163" t="n">
        <v>6</v>
      </c>
      <c r="AF163" t="n">
        <v>2</v>
      </c>
      <c r="AG163" t="n">
        <v>2</v>
      </c>
      <c r="AH163" t="n">
        <v>0</v>
      </c>
      <c r="AI163" t="n">
        <v>0</v>
      </c>
      <c r="AJ163" t="n">
        <v>2</v>
      </c>
      <c r="AK163" t="n">
        <v>2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HYPERLINK("http://catalog.hathitrust.org/Record/000770488","HathiTrust Record")</f>
        <v/>
      </c>
      <c r="AS163">
        <f>HYPERLINK("https://creighton-primo.hosted.exlibrisgroup.com/primo-explore/search?tab=default_tab&amp;search_scope=EVERYTHING&amp;vid=01CRU&amp;lang=en_US&amp;offset=0&amp;query=any,contains,991005234829702656","Catalog Record")</f>
        <v/>
      </c>
      <c r="AT163">
        <f>HYPERLINK("http://www.worldcat.org/oclc/9110151","WorldCat Record")</f>
        <v/>
      </c>
      <c r="AU163" t="inlineStr">
        <is>
          <t>355891693:eng</t>
        </is>
      </c>
      <c r="AV163" t="inlineStr">
        <is>
          <t>9110151</t>
        </is>
      </c>
      <c r="AW163" t="inlineStr">
        <is>
          <t>991005234829702656</t>
        </is>
      </c>
      <c r="AX163" t="inlineStr">
        <is>
          <t>991005234829702656</t>
        </is>
      </c>
      <c r="AY163" t="inlineStr">
        <is>
          <t>2262007280002656</t>
        </is>
      </c>
      <c r="AZ163" t="inlineStr">
        <is>
          <t>BOOK</t>
        </is>
      </c>
      <c r="BB163" t="inlineStr">
        <is>
          <t>9780675098311</t>
        </is>
      </c>
      <c r="BC163" t="inlineStr">
        <is>
          <t>32285001180727</t>
        </is>
      </c>
      <c r="BD163" t="inlineStr">
        <is>
          <t>893896116</t>
        </is>
      </c>
    </row>
    <row r="164">
      <c r="A164" t="inlineStr">
        <is>
          <t>No</t>
        </is>
      </c>
      <c r="B164" t="inlineStr">
        <is>
          <t>HV3004 .C47</t>
        </is>
      </c>
      <c r="C164" t="inlineStr">
        <is>
          <t>0                      HV 3004000C  47</t>
        </is>
      </c>
      <c r="D164" t="inlineStr">
        <is>
          <t>Mental retardation : a life cycle approach / Philip C. Chinn, Clifford J. Drew, Don R. Logan.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Chinn, Philip C., 1937-</t>
        </is>
      </c>
      <c r="L164" t="inlineStr">
        <is>
          <t>Saint Louis : Mosby, 1975.</t>
        </is>
      </c>
      <c r="M164" t="inlineStr">
        <is>
          <t>1975</t>
        </is>
      </c>
      <c r="O164" t="inlineStr">
        <is>
          <t>eng</t>
        </is>
      </c>
      <c r="P164" t="inlineStr">
        <is>
          <t>mou</t>
        </is>
      </c>
      <c r="R164" t="inlineStr">
        <is>
          <t xml:space="preserve">HV </t>
        </is>
      </c>
      <c r="S164" t="n">
        <v>2</v>
      </c>
      <c r="T164" t="n">
        <v>2</v>
      </c>
      <c r="U164" t="inlineStr">
        <is>
          <t>1997-03-13</t>
        </is>
      </c>
      <c r="V164" t="inlineStr">
        <is>
          <t>1997-03-13</t>
        </is>
      </c>
      <c r="W164" t="inlineStr">
        <is>
          <t>1992-02-20</t>
        </is>
      </c>
      <c r="X164" t="inlineStr">
        <is>
          <t>1992-02-20</t>
        </is>
      </c>
      <c r="Y164" t="n">
        <v>409</v>
      </c>
      <c r="Z164" t="n">
        <v>352</v>
      </c>
      <c r="AA164" t="n">
        <v>470</v>
      </c>
      <c r="AB164" t="n">
        <v>2</v>
      </c>
      <c r="AC164" t="n">
        <v>4</v>
      </c>
      <c r="AD164" t="n">
        <v>12</v>
      </c>
      <c r="AE164" t="n">
        <v>16</v>
      </c>
      <c r="AF164" t="n">
        <v>5</v>
      </c>
      <c r="AG164" t="n">
        <v>6</v>
      </c>
      <c r="AH164" t="n">
        <v>1</v>
      </c>
      <c r="AI164" t="n">
        <v>1</v>
      </c>
      <c r="AJ164" t="n">
        <v>6</v>
      </c>
      <c r="AK164" t="n">
        <v>7</v>
      </c>
      <c r="AL164" t="n">
        <v>1</v>
      </c>
      <c r="AM164" t="n">
        <v>3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HYPERLINK("http://catalog.hathitrust.org/Record/001133178","HathiTrust Record")</f>
        <v/>
      </c>
      <c r="AS164">
        <f>HYPERLINK("https://creighton-primo.hosted.exlibrisgroup.com/primo-explore/search?tab=default_tab&amp;search_scope=EVERYTHING&amp;vid=01CRU&amp;lang=en_US&amp;offset=0&amp;query=any,contains,991003505289702656","Catalog Record")</f>
        <v/>
      </c>
      <c r="AT164">
        <f>HYPERLINK("http://www.worldcat.org/oclc/1056826","WorldCat Record")</f>
        <v/>
      </c>
      <c r="AU164" t="inlineStr">
        <is>
          <t>2564837970:eng</t>
        </is>
      </c>
      <c r="AV164" t="inlineStr">
        <is>
          <t>1056826</t>
        </is>
      </c>
      <c r="AW164" t="inlineStr">
        <is>
          <t>991003505289702656</t>
        </is>
      </c>
      <c r="AX164" t="inlineStr">
        <is>
          <t>991003505289702656</t>
        </is>
      </c>
      <c r="AY164" t="inlineStr">
        <is>
          <t>2271997790002656</t>
        </is>
      </c>
      <c r="AZ164" t="inlineStr">
        <is>
          <t>BOOK</t>
        </is>
      </c>
      <c r="BB164" t="inlineStr">
        <is>
          <t>9780801609602</t>
        </is>
      </c>
      <c r="BC164" t="inlineStr">
        <is>
          <t>32285000972322</t>
        </is>
      </c>
      <c r="BD164" t="inlineStr">
        <is>
          <t>893234234</t>
        </is>
      </c>
    </row>
    <row r="165">
      <c r="A165" t="inlineStr">
        <is>
          <t>No</t>
        </is>
      </c>
      <c r="B165" t="inlineStr">
        <is>
          <t>HV3004 .E89 1983</t>
        </is>
      </c>
      <c r="C165" t="inlineStr">
        <is>
          <t>0                      HV 3004000E  89          1983</t>
        </is>
      </c>
      <c r="D165" t="inlineStr">
        <is>
          <t>The lives of mentally retarded people / Daryl Paul Evans.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Evans, Daryl.</t>
        </is>
      </c>
      <c r="L165" t="inlineStr">
        <is>
          <t>Boulder, Colo. : Westview Press, 1983.</t>
        </is>
      </c>
      <c r="M165" t="inlineStr">
        <is>
          <t>1983</t>
        </is>
      </c>
      <c r="O165" t="inlineStr">
        <is>
          <t>eng</t>
        </is>
      </c>
      <c r="P165" t="inlineStr">
        <is>
          <t>cou</t>
        </is>
      </c>
      <c r="R165" t="inlineStr">
        <is>
          <t xml:space="preserve">HV </t>
        </is>
      </c>
      <c r="S165" t="n">
        <v>7</v>
      </c>
      <c r="T165" t="n">
        <v>7</v>
      </c>
      <c r="U165" t="inlineStr">
        <is>
          <t>2009-10-05</t>
        </is>
      </c>
      <c r="V165" t="inlineStr">
        <is>
          <t>2009-10-05</t>
        </is>
      </c>
      <c r="W165" t="inlineStr">
        <is>
          <t>1992-04-15</t>
        </is>
      </c>
      <c r="X165" t="inlineStr">
        <is>
          <t>1992-04-15</t>
        </is>
      </c>
      <c r="Y165" t="n">
        <v>466</v>
      </c>
      <c r="Z165" t="n">
        <v>403</v>
      </c>
      <c r="AA165" t="n">
        <v>408</v>
      </c>
      <c r="AB165" t="n">
        <v>4</v>
      </c>
      <c r="AC165" t="n">
        <v>4</v>
      </c>
      <c r="AD165" t="n">
        <v>13</v>
      </c>
      <c r="AE165" t="n">
        <v>13</v>
      </c>
      <c r="AF165" t="n">
        <v>4</v>
      </c>
      <c r="AG165" t="n">
        <v>4</v>
      </c>
      <c r="AH165" t="n">
        <v>2</v>
      </c>
      <c r="AI165" t="n">
        <v>2</v>
      </c>
      <c r="AJ165" t="n">
        <v>7</v>
      </c>
      <c r="AK165" t="n">
        <v>7</v>
      </c>
      <c r="AL165" t="n">
        <v>3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HYPERLINK("https://creighton-primo.hosted.exlibrisgroup.com/primo-explore/search?tab=default_tab&amp;search_scope=EVERYTHING&amp;vid=01CRU&amp;lang=en_US&amp;offset=0&amp;query=any,contains,991000035559702656","Catalog Record")</f>
        <v/>
      </c>
      <c r="AT165">
        <f>HYPERLINK("http://www.worldcat.org/oclc/8627502","WorldCat Record")</f>
        <v/>
      </c>
      <c r="AU165" t="inlineStr">
        <is>
          <t>20962283:eng</t>
        </is>
      </c>
      <c r="AV165" t="inlineStr">
        <is>
          <t>8627502</t>
        </is>
      </c>
      <c r="AW165" t="inlineStr">
        <is>
          <t>991000035559702656</t>
        </is>
      </c>
      <c r="AX165" t="inlineStr">
        <is>
          <t>991000035559702656</t>
        </is>
      </c>
      <c r="AY165" t="inlineStr">
        <is>
          <t>2261705670002656</t>
        </is>
      </c>
      <c r="AZ165" t="inlineStr">
        <is>
          <t>BOOK</t>
        </is>
      </c>
      <c r="BB165" t="inlineStr">
        <is>
          <t>9780865312715</t>
        </is>
      </c>
      <c r="BC165" t="inlineStr">
        <is>
          <t>32285001061034</t>
        </is>
      </c>
      <c r="BD165" t="inlineStr">
        <is>
          <t>893877736</t>
        </is>
      </c>
    </row>
    <row r="166">
      <c r="A166" t="inlineStr">
        <is>
          <t>No</t>
        </is>
      </c>
      <c r="B166" t="inlineStr">
        <is>
          <t>HV3004 .K2</t>
        </is>
      </c>
      <c r="C166" t="inlineStr">
        <is>
          <t>0                      HV 3004000K  2</t>
        </is>
      </c>
      <c r="D166" t="inlineStr">
        <is>
          <t>A history of the care and study of the mentally retarded.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Kanner, Leo, 1894-1981.</t>
        </is>
      </c>
      <c r="L166" t="inlineStr">
        <is>
          <t>Springfield, Ill., C. C. Thomas [1964]</t>
        </is>
      </c>
      <c r="M166" t="inlineStr">
        <is>
          <t>1964</t>
        </is>
      </c>
      <c r="O166" t="inlineStr">
        <is>
          <t>eng</t>
        </is>
      </c>
      <c r="P166" t="inlineStr">
        <is>
          <t>ilu</t>
        </is>
      </c>
      <c r="R166" t="inlineStr">
        <is>
          <t xml:space="preserve">HV </t>
        </is>
      </c>
      <c r="S166" t="n">
        <v>5</v>
      </c>
      <c r="T166" t="n">
        <v>5</v>
      </c>
      <c r="U166" t="inlineStr">
        <is>
          <t>2004-11-06</t>
        </is>
      </c>
      <c r="V166" t="inlineStr">
        <is>
          <t>2004-11-06</t>
        </is>
      </c>
      <c r="W166" t="inlineStr">
        <is>
          <t>1997-08-22</t>
        </is>
      </c>
      <c r="X166" t="inlineStr">
        <is>
          <t>1997-08-22</t>
        </is>
      </c>
      <c r="Y166" t="n">
        <v>637</v>
      </c>
      <c r="Z166" t="n">
        <v>547</v>
      </c>
      <c r="AA166" t="n">
        <v>595</v>
      </c>
      <c r="AB166" t="n">
        <v>3</v>
      </c>
      <c r="AC166" t="n">
        <v>3</v>
      </c>
      <c r="AD166" t="n">
        <v>23</v>
      </c>
      <c r="AE166" t="n">
        <v>23</v>
      </c>
      <c r="AF166" t="n">
        <v>9</v>
      </c>
      <c r="AG166" t="n">
        <v>9</v>
      </c>
      <c r="AH166" t="n">
        <v>6</v>
      </c>
      <c r="AI166" t="n">
        <v>6</v>
      </c>
      <c r="AJ166" t="n">
        <v>12</v>
      </c>
      <c r="AK166" t="n">
        <v>12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HYPERLINK("http://catalog.hathitrust.org/Record/001133187","HathiTrust Record")</f>
        <v/>
      </c>
      <c r="AS166">
        <f>HYPERLINK("https://creighton-primo.hosted.exlibrisgroup.com/primo-explore/search?tab=default_tab&amp;search_scope=EVERYTHING&amp;vid=01CRU&amp;lang=en_US&amp;offset=0&amp;query=any,contains,991002078709702656","Catalog Record")</f>
        <v/>
      </c>
      <c r="AT166">
        <f>HYPERLINK("http://www.worldcat.org/oclc/264196","WorldCat Record")</f>
        <v/>
      </c>
      <c r="AU166" t="inlineStr">
        <is>
          <t>9415019284:eng</t>
        </is>
      </c>
      <c r="AV166" t="inlineStr">
        <is>
          <t>264196</t>
        </is>
      </c>
      <c r="AW166" t="inlineStr">
        <is>
          <t>991002078709702656</t>
        </is>
      </c>
      <c r="AX166" t="inlineStr">
        <is>
          <t>991002078709702656</t>
        </is>
      </c>
      <c r="AY166" t="inlineStr">
        <is>
          <t>2268286910002656</t>
        </is>
      </c>
      <c r="AZ166" t="inlineStr">
        <is>
          <t>BOOK</t>
        </is>
      </c>
      <c r="BC166" t="inlineStr">
        <is>
          <t>32285003157145</t>
        </is>
      </c>
      <c r="BD166" t="inlineStr">
        <is>
          <t>893773185</t>
        </is>
      </c>
    </row>
    <row r="167">
      <c r="A167" t="inlineStr">
        <is>
          <t>No</t>
        </is>
      </c>
      <c r="B167" t="inlineStr">
        <is>
          <t>HV3004 .M34 2000</t>
        </is>
      </c>
      <c r="C167" t="inlineStr">
        <is>
          <t>0                      HV 3004000M  34          2000</t>
        </is>
      </c>
      <c r="D167" t="inlineStr">
        <is>
          <t>Meaningful care : a multidisciplinary approach to the meaning of care for people with mental retardation / edited by Joop Stolk, Theo A. Boer and Ruth Seldenrijk.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Dordrecht ; Boston : Kluwer Academic Publishers, c2000.</t>
        </is>
      </c>
      <c r="M167" t="inlineStr">
        <is>
          <t>2000</t>
        </is>
      </c>
      <c r="O167" t="inlineStr">
        <is>
          <t>eng</t>
        </is>
      </c>
      <c r="P167" t="inlineStr">
        <is>
          <t xml:space="preserve">ne </t>
        </is>
      </c>
      <c r="R167" t="inlineStr">
        <is>
          <t xml:space="preserve">HV </t>
        </is>
      </c>
      <c r="S167" t="n">
        <v>4</v>
      </c>
      <c r="T167" t="n">
        <v>4</v>
      </c>
      <c r="U167" t="inlineStr">
        <is>
          <t>2004-04-21</t>
        </is>
      </c>
      <c r="V167" t="inlineStr">
        <is>
          <t>2004-04-21</t>
        </is>
      </c>
      <c r="W167" t="inlineStr">
        <is>
          <t>2001-02-26</t>
        </is>
      </c>
      <c r="X167" t="inlineStr">
        <is>
          <t>2001-02-26</t>
        </is>
      </c>
      <c r="Y167" t="n">
        <v>148</v>
      </c>
      <c r="Z167" t="n">
        <v>113</v>
      </c>
      <c r="AA167" t="n">
        <v>133</v>
      </c>
      <c r="AB167" t="n">
        <v>2</v>
      </c>
      <c r="AC167" t="n">
        <v>2</v>
      </c>
      <c r="AD167" t="n">
        <v>6</v>
      </c>
      <c r="AE167" t="n">
        <v>8</v>
      </c>
      <c r="AF167" t="n">
        <v>1</v>
      </c>
      <c r="AG167" t="n">
        <v>3</v>
      </c>
      <c r="AH167" t="n">
        <v>2</v>
      </c>
      <c r="AI167" t="n">
        <v>3</v>
      </c>
      <c r="AJ167" t="n">
        <v>5</v>
      </c>
      <c r="AK167" t="n">
        <v>6</v>
      </c>
      <c r="AL167" t="n">
        <v>1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HYPERLINK("https://creighton-primo.hosted.exlibrisgroup.com/primo-explore/search?tab=default_tab&amp;search_scope=EVERYTHING&amp;vid=01CRU&amp;lang=en_US&amp;offset=0&amp;query=any,contains,991003495389702656","Catalog Record")</f>
        <v/>
      </c>
      <c r="AT167">
        <f>HYPERLINK("http://www.worldcat.org/oclc/43894425","WorldCat Record")</f>
        <v/>
      </c>
      <c r="AU167" t="inlineStr">
        <is>
          <t>351453797:eng</t>
        </is>
      </c>
      <c r="AV167" t="inlineStr">
        <is>
          <t>43894425</t>
        </is>
      </c>
      <c r="AW167" t="inlineStr">
        <is>
          <t>991003495389702656</t>
        </is>
      </c>
      <c r="AX167" t="inlineStr">
        <is>
          <t>991003495389702656</t>
        </is>
      </c>
      <c r="AY167" t="inlineStr">
        <is>
          <t>2263092350002656</t>
        </is>
      </c>
      <c r="AZ167" t="inlineStr">
        <is>
          <t>BOOK</t>
        </is>
      </c>
      <c r="BB167" t="inlineStr">
        <is>
          <t>9780792362913</t>
        </is>
      </c>
      <c r="BC167" t="inlineStr">
        <is>
          <t>32285004297502</t>
        </is>
      </c>
      <c r="BD167" t="inlineStr">
        <is>
          <t>893499352</t>
        </is>
      </c>
    </row>
    <row r="168">
      <c r="A168" t="inlineStr">
        <is>
          <t>No</t>
        </is>
      </c>
      <c r="B168" t="inlineStr">
        <is>
          <t>HV3004 .M4</t>
        </is>
      </c>
      <c r="C168" t="inlineStr">
        <is>
          <t>0                      HV 3004000M  4</t>
        </is>
      </c>
      <c r="D168" t="inlineStr">
        <is>
          <t>Planning community services for the mentally retarded, edited by Edward L. Meyen.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Meyen, Edward L., compiler.</t>
        </is>
      </c>
      <c r="L168" t="inlineStr">
        <is>
          <t>Scranton, International Textbook Co. [1967]</t>
        </is>
      </c>
      <c r="M168" t="inlineStr">
        <is>
          <t>1967</t>
        </is>
      </c>
      <c r="O168" t="inlineStr">
        <is>
          <t>eng</t>
        </is>
      </c>
      <c r="P168" t="inlineStr">
        <is>
          <t xml:space="preserve">xx </t>
        </is>
      </c>
      <c r="R168" t="inlineStr">
        <is>
          <t xml:space="preserve">HV </t>
        </is>
      </c>
      <c r="S168" t="n">
        <v>4</v>
      </c>
      <c r="T168" t="n">
        <v>4</v>
      </c>
      <c r="U168" t="inlineStr">
        <is>
          <t>1994-04-14</t>
        </is>
      </c>
      <c r="V168" t="inlineStr">
        <is>
          <t>1994-04-14</t>
        </is>
      </c>
      <c r="W168" t="inlineStr">
        <is>
          <t>1991-12-12</t>
        </is>
      </c>
      <c r="X168" t="inlineStr">
        <is>
          <t>1991-12-12</t>
        </is>
      </c>
      <c r="Y168" t="n">
        <v>255</v>
      </c>
      <c r="Z168" t="n">
        <v>209</v>
      </c>
      <c r="AA168" t="n">
        <v>217</v>
      </c>
      <c r="AB168" t="n">
        <v>2</v>
      </c>
      <c r="AC168" t="n">
        <v>2</v>
      </c>
      <c r="AD168" t="n">
        <v>9</v>
      </c>
      <c r="AE168" t="n">
        <v>9</v>
      </c>
      <c r="AF168" t="n">
        <v>2</v>
      </c>
      <c r="AG168" t="n">
        <v>2</v>
      </c>
      <c r="AH168" t="n">
        <v>1</v>
      </c>
      <c r="AI168" t="n">
        <v>1</v>
      </c>
      <c r="AJ168" t="n">
        <v>6</v>
      </c>
      <c r="AK168" t="n">
        <v>6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HYPERLINK("http://catalog.hathitrust.org/Record/001133189","HathiTrust Record")</f>
        <v/>
      </c>
      <c r="AS168">
        <f>HYPERLINK("https://creighton-primo.hosted.exlibrisgroup.com/primo-explore/search?tab=default_tab&amp;search_scope=EVERYTHING&amp;vid=01CRU&amp;lang=en_US&amp;offset=0&amp;query=any,contains,991002296309702656","Catalog Record")</f>
        <v/>
      </c>
      <c r="AT168">
        <f>HYPERLINK("http://www.worldcat.org/oclc/315719","WorldCat Record")</f>
        <v/>
      </c>
      <c r="AU168" t="inlineStr">
        <is>
          <t>1385595:eng</t>
        </is>
      </c>
      <c r="AV168" t="inlineStr">
        <is>
          <t>315719</t>
        </is>
      </c>
      <c r="AW168" t="inlineStr">
        <is>
          <t>991002296309702656</t>
        </is>
      </c>
      <c r="AX168" t="inlineStr">
        <is>
          <t>991002296309702656</t>
        </is>
      </c>
      <c r="AY168" t="inlineStr">
        <is>
          <t>2268905680002656</t>
        </is>
      </c>
      <c r="AZ168" t="inlineStr">
        <is>
          <t>BOOK</t>
        </is>
      </c>
      <c r="BC168" t="inlineStr">
        <is>
          <t>32285000878370</t>
        </is>
      </c>
      <c r="BD168" t="inlineStr">
        <is>
          <t>893328901</t>
        </is>
      </c>
    </row>
    <row r="169">
      <c r="A169" t="inlineStr">
        <is>
          <t>No</t>
        </is>
      </c>
      <c r="B169" t="inlineStr">
        <is>
          <t>HV3004 .V43 1986</t>
        </is>
      </c>
      <c r="C169" t="inlineStr">
        <is>
          <t>0                      HV 3004000V  43          1986</t>
        </is>
      </c>
      <c r="D169" t="inlineStr">
        <is>
          <t>The foundations of justice : why the retarded and the rest of us have claims to equality / Robert M. Veatch.</t>
        </is>
      </c>
      <c r="F169" t="inlineStr">
        <is>
          <t>No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Veatch, Robert M.</t>
        </is>
      </c>
      <c r="L169" t="inlineStr">
        <is>
          <t>New York : Oxford University Press, 1986.</t>
        </is>
      </c>
      <c r="M169" t="inlineStr">
        <is>
          <t>1986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HV </t>
        </is>
      </c>
      <c r="S169" t="n">
        <v>1</v>
      </c>
      <c r="T169" t="n">
        <v>9</v>
      </c>
      <c r="U169" t="inlineStr">
        <is>
          <t>1993-09-28</t>
        </is>
      </c>
      <c r="V169" t="inlineStr">
        <is>
          <t>1999-05-04</t>
        </is>
      </c>
      <c r="W169" t="inlineStr">
        <is>
          <t>1992-04-08</t>
        </is>
      </c>
      <c r="X169" t="inlineStr">
        <is>
          <t>1992-04-08</t>
        </is>
      </c>
      <c r="Y169" t="n">
        <v>648</v>
      </c>
      <c r="Z169" t="n">
        <v>559</v>
      </c>
      <c r="AA169" t="n">
        <v>565</v>
      </c>
      <c r="AB169" t="n">
        <v>4</v>
      </c>
      <c r="AC169" t="n">
        <v>4</v>
      </c>
      <c r="AD169" t="n">
        <v>39</v>
      </c>
      <c r="AE169" t="n">
        <v>39</v>
      </c>
      <c r="AF169" t="n">
        <v>10</v>
      </c>
      <c r="AG169" t="n">
        <v>10</v>
      </c>
      <c r="AH169" t="n">
        <v>6</v>
      </c>
      <c r="AI169" t="n">
        <v>6</v>
      </c>
      <c r="AJ169" t="n">
        <v>18</v>
      </c>
      <c r="AK169" t="n">
        <v>18</v>
      </c>
      <c r="AL169" t="n">
        <v>2</v>
      </c>
      <c r="AM169" t="n">
        <v>2</v>
      </c>
      <c r="AN169" t="n">
        <v>11</v>
      </c>
      <c r="AO169" t="n">
        <v>11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HYPERLINK("https://creighton-primo.hosted.exlibrisgroup.com/primo-explore/search?tab=default_tab&amp;search_scope=EVERYTHING&amp;vid=01CRU&amp;lang=en_US&amp;offset=0&amp;query=any,contains,991001785519702656","Catalog Record")</f>
        <v/>
      </c>
      <c r="AT169">
        <f>HYPERLINK("http://www.worldcat.org/oclc/13699552","WorldCat Record")</f>
        <v/>
      </c>
      <c r="AU169" t="inlineStr">
        <is>
          <t>836651943:eng</t>
        </is>
      </c>
      <c r="AV169" t="inlineStr">
        <is>
          <t>13699552</t>
        </is>
      </c>
      <c r="AW169" t="inlineStr">
        <is>
          <t>991001785519702656</t>
        </is>
      </c>
      <c r="AX169" t="inlineStr">
        <is>
          <t>991001785519702656</t>
        </is>
      </c>
      <c r="AY169" t="inlineStr">
        <is>
          <t>2267095090002656</t>
        </is>
      </c>
      <c r="AZ169" t="inlineStr">
        <is>
          <t>BOOK</t>
        </is>
      </c>
      <c r="BB169" t="inlineStr">
        <is>
          <t>9780195040760</t>
        </is>
      </c>
      <c r="BC169" t="inlineStr">
        <is>
          <t>32285001066157</t>
        </is>
      </c>
      <c r="BD169" t="inlineStr">
        <is>
          <t>893621622</t>
        </is>
      </c>
    </row>
    <row r="170">
      <c r="A170" t="inlineStr">
        <is>
          <t>No</t>
        </is>
      </c>
      <c r="B170" t="inlineStr">
        <is>
          <t>HV3006.A4 F33</t>
        </is>
      </c>
      <c r="C170" t="inlineStr">
        <is>
          <t>0                      HV 3006000A  4                  F  33</t>
        </is>
      </c>
      <c r="D170" t="inlineStr">
        <is>
          <t>Mental retardation : its social context and social consequences.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Farber, Bernard.</t>
        </is>
      </c>
      <c r="L170" t="inlineStr">
        <is>
          <t>Boston : Houghton Mifflin, [1968]</t>
        </is>
      </c>
      <c r="M170" t="inlineStr">
        <is>
          <t>1968</t>
        </is>
      </c>
      <c r="O170" t="inlineStr">
        <is>
          <t>eng</t>
        </is>
      </c>
      <c r="P170" t="inlineStr">
        <is>
          <t>mau</t>
        </is>
      </c>
      <c r="R170" t="inlineStr">
        <is>
          <t xml:space="preserve">HV </t>
        </is>
      </c>
      <c r="S170" t="n">
        <v>1</v>
      </c>
      <c r="T170" t="n">
        <v>1</v>
      </c>
      <c r="U170" t="inlineStr">
        <is>
          <t>1995-02-20</t>
        </is>
      </c>
      <c r="V170" t="inlineStr">
        <is>
          <t>1995-02-20</t>
        </is>
      </c>
      <c r="W170" t="inlineStr">
        <is>
          <t>1993-11-30</t>
        </is>
      </c>
      <c r="X170" t="inlineStr">
        <is>
          <t>1993-11-30</t>
        </is>
      </c>
      <c r="Y170" t="n">
        <v>691</v>
      </c>
      <c r="Z170" t="n">
        <v>598</v>
      </c>
      <c r="AA170" t="n">
        <v>606</v>
      </c>
      <c r="AB170" t="n">
        <v>5</v>
      </c>
      <c r="AC170" t="n">
        <v>5</v>
      </c>
      <c r="AD170" t="n">
        <v>32</v>
      </c>
      <c r="AE170" t="n">
        <v>32</v>
      </c>
      <c r="AF170" t="n">
        <v>16</v>
      </c>
      <c r="AG170" t="n">
        <v>16</v>
      </c>
      <c r="AH170" t="n">
        <v>5</v>
      </c>
      <c r="AI170" t="n">
        <v>5</v>
      </c>
      <c r="AJ170" t="n">
        <v>15</v>
      </c>
      <c r="AK170" t="n">
        <v>15</v>
      </c>
      <c r="AL170" t="n">
        <v>4</v>
      </c>
      <c r="AM170" t="n">
        <v>4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HYPERLINK("https://creighton-primo.hosted.exlibrisgroup.com/primo-explore/search?tab=default_tab&amp;search_scope=EVERYTHING&amp;vid=01CRU&amp;lang=en_US&amp;offset=0&amp;query=any,contains,991002078669702656","Catalog Record")</f>
        <v/>
      </c>
      <c r="AT170">
        <f>HYPERLINK("http://www.worldcat.org/oclc/264192","WorldCat Record")</f>
        <v/>
      </c>
      <c r="AU170" t="inlineStr">
        <is>
          <t>196106943:eng</t>
        </is>
      </c>
      <c r="AV170" t="inlineStr">
        <is>
          <t>264192</t>
        </is>
      </c>
      <c r="AW170" t="inlineStr">
        <is>
          <t>991002078669702656</t>
        </is>
      </c>
      <c r="AX170" t="inlineStr">
        <is>
          <t>991002078669702656</t>
        </is>
      </c>
      <c r="AY170" t="inlineStr">
        <is>
          <t>2268287060002656</t>
        </is>
      </c>
      <c r="AZ170" t="inlineStr">
        <is>
          <t>BOOK</t>
        </is>
      </c>
      <c r="BC170" t="inlineStr">
        <is>
          <t>32285001689792</t>
        </is>
      </c>
      <c r="BD170" t="inlineStr">
        <is>
          <t>893804197</t>
        </is>
      </c>
    </row>
    <row r="171">
      <c r="A171" t="inlineStr">
        <is>
          <t>No</t>
        </is>
      </c>
      <c r="B171" t="inlineStr">
        <is>
          <t>HV3006.A4 G46 1987</t>
        </is>
      </c>
      <c r="C171" t="inlineStr">
        <is>
          <t>0                      HV 3006000A  4                  G  46          1987</t>
        </is>
      </c>
      <c r="D171" t="inlineStr">
        <is>
          <t>Gentle teaching : a nonaversive approach for helping persons with mental retardation / John J. McGee ... [et al.].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New York, N.Y. : Human Sciences Press, c1987.</t>
        </is>
      </c>
      <c r="M171" t="inlineStr">
        <is>
          <t>1987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HV </t>
        </is>
      </c>
      <c r="S171" t="n">
        <v>16</v>
      </c>
      <c r="T171" t="n">
        <v>16</v>
      </c>
      <c r="U171" t="inlineStr">
        <is>
          <t>2004-04-21</t>
        </is>
      </c>
      <c r="V171" t="inlineStr">
        <is>
          <t>2004-04-21</t>
        </is>
      </c>
      <c r="W171" t="inlineStr">
        <is>
          <t>1991-10-31</t>
        </is>
      </c>
      <c r="X171" t="inlineStr">
        <is>
          <t>1991-10-31</t>
        </is>
      </c>
      <c r="Y171" t="n">
        <v>363</v>
      </c>
      <c r="Z171" t="n">
        <v>294</v>
      </c>
      <c r="AA171" t="n">
        <v>304</v>
      </c>
      <c r="AB171" t="n">
        <v>2</v>
      </c>
      <c r="AC171" t="n">
        <v>2</v>
      </c>
      <c r="AD171" t="n">
        <v>4</v>
      </c>
      <c r="AE171" t="n">
        <v>4</v>
      </c>
      <c r="AF171" t="n">
        <v>0</v>
      </c>
      <c r="AG171" t="n">
        <v>0</v>
      </c>
      <c r="AH171" t="n">
        <v>1</v>
      </c>
      <c r="AI171" t="n">
        <v>1</v>
      </c>
      <c r="AJ171" t="n">
        <v>3</v>
      </c>
      <c r="AK171" t="n">
        <v>3</v>
      </c>
      <c r="AL171" t="n">
        <v>1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HYPERLINK("http://catalog.hathitrust.org/Record/000885747","HathiTrust Record")</f>
        <v/>
      </c>
      <c r="AS171">
        <f>HYPERLINK("https://creighton-primo.hosted.exlibrisgroup.com/primo-explore/search?tab=default_tab&amp;search_scope=EVERYTHING&amp;vid=01CRU&amp;lang=en_US&amp;offset=0&amp;query=any,contains,991000968259702656","Catalog Record")</f>
        <v/>
      </c>
      <c r="AT171">
        <f>HYPERLINK("http://www.worldcat.org/oclc/14932036","WorldCat Record")</f>
        <v/>
      </c>
      <c r="AU171" t="inlineStr">
        <is>
          <t>894396238:eng</t>
        </is>
      </c>
      <c r="AV171" t="inlineStr">
        <is>
          <t>14932036</t>
        </is>
      </c>
      <c r="AW171" t="inlineStr">
        <is>
          <t>991000968259702656</t>
        </is>
      </c>
      <c r="AX171" t="inlineStr">
        <is>
          <t>991000968259702656</t>
        </is>
      </c>
      <c r="AY171" t="inlineStr">
        <is>
          <t>2263541970002656</t>
        </is>
      </c>
      <c r="AZ171" t="inlineStr">
        <is>
          <t>BOOK</t>
        </is>
      </c>
      <c r="BB171" t="inlineStr">
        <is>
          <t>9780898853575</t>
        </is>
      </c>
      <c r="BC171" t="inlineStr">
        <is>
          <t>32285000804012</t>
        </is>
      </c>
      <c r="BD171" t="inlineStr">
        <is>
          <t>893608424</t>
        </is>
      </c>
    </row>
    <row r="172">
      <c r="A172" t="inlineStr">
        <is>
          <t>No</t>
        </is>
      </c>
      <c r="B172" t="inlineStr">
        <is>
          <t>HV3006.A4 M43</t>
        </is>
      </c>
      <c r="C172" t="inlineStr">
        <is>
          <t>0                      HV 3006000A  4                  M  43</t>
        </is>
      </c>
      <c r="D172" t="inlineStr">
        <is>
          <t>Mental retardation and sterilization : a problem of competency and paternalism / edited by Ruth Macklin and Willard Gaylin.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New York : Plenum Press, c1981.</t>
        </is>
      </c>
      <c r="M172" t="inlineStr">
        <is>
          <t>1981</t>
        </is>
      </c>
      <c r="O172" t="inlineStr">
        <is>
          <t>eng</t>
        </is>
      </c>
      <c r="P172" t="inlineStr">
        <is>
          <t>nyu</t>
        </is>
      </c>
      <c r="Q172" t="inlineStr">
        <is>
          <t>Hastings Center series in ethics</t>
        </is>
      </c>
      <c r="R172" t="inlineStr">
        <is>
          <t xml:space="preserve">HV </t>
        </is>
      </c>
      <c r="S172" t="n">
        <v>10</v>
      </c>
      <c r="T172" t="n">
        <v>10</v>
      </c>
      <c r="U172" t="inlineStr">
        <is>
          <t>1999-02-21</t>
        </is>
      </c>
      <c r="V172" t="inlineStr">
        <is>
          <t>1999-02-21</t>
        </is>
      </c>
      <c r="W172" t="inlineStr">
        <is>
          <t>1992-07-01</t>
        </is>
      </c>
      <c r="X172" t="inlineStr">
        <is>
          <t>1992-07-01</t>
        </is>
      </c>
      <c r="Y172" t="n">
        <v>393</v>
      </c>
      <c r="Z172" t="n">
        <v>330</v>
      </c>
      <c r="AA172" t="n">
        <v>342</v>
      </c>
      <c r="AB172" t="n">
        <v>3</v>
      </c>
      <c r="AC172" t="n">
        <v>3</v>
      </c>
      <c r="AD172" t="n">
        <v>25</v>
      </c>
      <c r="AE172" t="n">
        <v>26</v>
      </c>
      <c r="AF172" t="n">
        <v>7</v>
      </c>
      <c r="AG172" t="n">
        <v>8</v>
      </c>
      <c r="AH172" t="n">
        <v>4</v>
      </c>
      <c r="AI172" t="n">
        <v>4</v>
      </c>
      <c r="AJ172" t="n">
        <v>10</v>
      </c>
      <c r="AK172" t="n">
        <v>11</v>
      </c>
      <c r="AL172" t="n">
        <v>2</v>
      </c>
      <c r="AM172" t="n">
        <v>2</v>
      </c>
      <c r="AN172" t="n">
        <v>8</v>
      </c>
      <c r="AO172" t="n">
        <v>8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HYPERLINK("https://creighton-primo.hosted.exlibrisgroup.com/primo-explore/search?tab=default_tab&amp;search_scope=EVERYTHING&amp;vid=01CRU&amp;lang=en_US&amp;offset=0&amp;query=any,contains,991005127039702656","Catalog Record")</f>
        <v/>
      </c>
      <c r="AT172">
        <f>HYPERLINK("http://www.worldcat.org/oclc/7554294","WorldCat Record")</f>
        <v/>
      </c>
      <c r="AU172" t="inlineStr">
        <is>
          <t>836673743:eng</t>
        </is>
      </c>
      <c r="AV172" t="inlineStr">
        <is>
          <t>7554294</t>
        </is>
      </c>
      <c r="AW172" t="inlineStr">
        <is>
          <t>991005127039702656</t>
        </is>
      </c>
      <c r="AX172" t="inlineStr">
        <is>
          <t>991005127039702656</t>
        </is>
      </c>
      <c r="AY172" t="inlineStr">
        <is>
          <t>2264697950002656</t>
        </is>
      </c>
      <c r="AZ172" t="inlineStr">
        <is>
          <t>BOOK</t>
        </is>
      </c>
      <c r="BB172" t="inlineStr">
        <is>
          <t>9780306406898</t>
        </is>
      </c>
      <c r="BC172" t="inlineStr">
        <is>
          <t>32285001180842</t>
        </is>
      </c>
      <c r="BD172" t="inlineStr">
        <is>
          <t>893236324</t>
        </is>
      </c>
    </row>
    <row r="173">
      <c r="A173" t="inlineStr">
        <is>
          <t>No</t>
        </is>
      </c>
      <c r="B173" t="inlineStr">
        <is>
          <t>HV3006.A4 M6</t>
        </is>
      </c>
      <c r="C173" t="inlineStr">
        <is>
          <t>0                      HV 3006000A  4                  M  6</t>
        </is>
      </c>
      <c r="D173" t="inlineStr">
        <is>
          <t>Mental retardation : causes and prevention / Byron C. Moore, Susan M. Moore.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Moore, Byron C.</t>
        </is>
      </c>
      <c r="L173" t="inlineStr">
        <is>
          <t>Columbus : Charles E. Merrill Pub. Co., 1977.</t>
        </is>
      </c>
      <c r="M173" t="inlineStr">
        <is>
          <t>1977</t>
        </is>
      </c>
      <c r="O173" t="inlineStr">
        <is>
          <t>eng</t>
        </is>
      </c>
      <c r="P173" t="inlineStr">
        <is>
          <t>ohu</t>
        </is>
      </c>
      <c r="R173" t="inlineStr">
        <is>
          <t xml:space="preserve">HV </t>
        </is>
      </c>
      <c r="S173" t="n">
        <v>5</v>
      </c>
      <c r="T173" t="n">
        <v>5</v>
      </c>
      <c r="U173" t="inlineStr">
        <is>
          <t>2003-02-06</t>
        </is>
      </c>
      <c r="V173" t="inlineStr">
        <is>
          <t>2003-02-06</t>
        </is>
      </c>
      <c r="W173" t="inlineStr">
        <is>
          <t>1992-07-01</t>
        </is>
      </c>
      <c r="X173" t="inlineStr">
        <is>
          <t>1992-07-01</t>
        </is>
      </c>
      <c r="Y173" t="n">
        <v>105</v>
      </c>
      <c r="Z173" t="n">
        <v>102</v>
      </c>
      <c r="AA173" t="n">
        <v>103</v>
      </c>
      <c r="AB173" t="n">
        <v>2</v>
      </c>
      <c r="AC173" t="n">
        <v>2</v>
      </c>
      <c r="AD173" t="n">
        <v>5</v>
      </c>
      <c r="AE173" t="n">
        <v>5</v>
      </c>
      <c r="AF173" t="n">
        <v>2</v>
      </c>
      <c r="AG173" t="n">
        <v>2</v>
      </c>
      <c r="AH173" t="n">
        <v>0</v>
      </c>
      <c r="AI173" t="n">
        <v>0</v>
      </c>
      <c r="AJ173" t="n">
        <v>3</v>
      </c>
      <c r="AK173" t="n">
        <v>3</v>
      </c>
      <c r="AL173" t="n">
        <v>1</v>
      </c>
      <c r="AM173" t="n">
        <v>1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HYPERLINK("http://catalog.hathitrust.org/Record/000747575","HathiTrust Record")</f>
        <v/>
      </c>
      <c r="AS173">
        <f>HYPERLINK("https://creighton-primo.hosted.exlibrisgroup.com/primo-explore/search?tab=default_tab&amp;search_scope=EVERYTHING&amp;vid=01CRU&amp;lang=en_US&amp;offset=0&amp;query=any,contains,991004397509702656","Catalog Record")</f>
        <v/>
      </c>
      <c r="AT173">
        <f>HYPERLINK("http://www.worldcat.org/oclc/3286174","WorldCat Record")</f>
        <v/>
      </c>
      <c r="AU173" t="inlineStr">
        <is>
          <t>198056948:eng</t>
        </is>
      </c>
      <c r="AV173" t="inlineStr">
        <is>
          <t>3286174</t>
        </is>
      </c>
      <c r="AW173" t="inlineStr">
        <is>
          <t>991004397509702656</t>
        </is>
      </c>
      <c r="AX173" t="inlineStr">
        <is>
          <t>991004397509702656</t>
        </is>
      </c>
      <c r="AY173" t="inlineStr">
        <is>
          <t>2255579270002656</t>
        </is>
      </c>
      <c r="AZ173" t="inlineStr">
        <is>
          <t>BOOK</t>
        </is>
      </c>
      <c r="BB173" t="inlineStr">
        <is>
          <t>9780067585351</t>
        </is>
      </c>
      <c r="BC173" t="inlineStr">
        <is>
          <t>32285001180859</t>
        </is>
      </c>
      <c r="BD173" t="inlineStr">
        <is>
          <t>893436244</t>
        </is>
      </c>
    </row>
    <row r="174">
      <c r="A174" t="inlineStr">
        <is>
          <t>No</t>
        </is>
      </c>
      <c r="B174" t="inlineStr">
        <is>
          <t>HV3006.A4 S32</t>
        </is>
      </c>
      <c r="C174" t="inlineStr">
        <is>
          <t>0                      HV 3006000A  4                  S  32</t>
        </is>
      </c>
      <c r="D174" t="inlineStr">
        <is>
          <t>Educational handicap, public policy, and social history : a broadened perspective on mental retardation / Seymour B. Sarason and John Doris.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Sarason, Seymour Bernard, 1919-2010.</t>
        </is>
      </c>
      <c r="L174" t="inlineStr">
        <is>
          <t>New York : Free Press, c1979.</t>
        </is>
      </c>
      <c r="M174" t="inlineStr">
        <is>
          <t>1979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HV </t>
        </is>
      </c>
      <c r="S174" t="n">
        <v>8</v>
      </c>
      <c r="T174" t="n">
        <v>8</v>
      </c>
      <c r="U174" t="inlineStr">
        <is>
          <t>2009-04-06</t>
        </is>
      </c>
      <c r="V174" t="inlineStr">
        <is>
          <t>2009-04-06</t>
        </is>
      </c>
      <c r="W174" t="inlineStr">
        <is>
          <t>1990-04-17</t>
        </is>
      </c>
      <c r="X174" t="inlineStr">
        <is>
          <t>1990-04-17</t>
        </is>
      </c>
      <c r="Y174" t="n">
        <v>790</v>
      </c>
      <c r="Z174" t="n">
        <v>683</v>
      </c>
      <c r="AA174" t="n">
        <v>695</v>
      </c>
      <c r="AB174" t="n">
        <v>7</v>
      </c>
      <c r="AC174" t="n">
        <v>8</v>
      </c>
      <c r="AD174" t="n">
        <v>24</v>
      </c>
      <c r="AE174" t="n">
        <v>26</v>
      </c>
      <c r="AF174" t="n">
        <v>8</v>
      </c>
      <c r="AG174" t="n">
        <v>8</v>
      </c>
      <c r="AH174" t="n">
        <v>4</v>
      </c>
      <c r="AI174" t="n">
        <v>5</v>
      </c>
      <c r="AJ174" t="n">
        <v>13</v>
      </c>
      <c r="AK174" t="n">
        <v>14</v>
      </c>
      <c r="AL174" t="n">
        <v>5</v>
      </c>
      <c r="AM174" t="n">
        <v>6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HYPERLINK("https://creighton-primo.hosted.exlibrisgroup.com/primo-explore/search?tab=default_tab&amp;search_scope=EVERYTHING&amp;vid=01CRU&amp;lang=en_US&amp;offset=0&amp;query=any,contains,991004603889702656","Catalog Record")</f>
        <v/>
      </c>
      <c r="AT174">
        <f>HYPERLINK("http://www.worldcat.org/oclc/4192127","WorldCat Record")</f>
        <v/>
      </c>
      <c r="AU174" t="inlineStr">
        <is>
          <t>889378283:eng</t>
        </is>
      </c>
      <c r="AV174" t="inlineStr">
        <is>
          <t>4192127</t>
        </is>
      </c>
      <c r="AW174" t="inlineStr">
        <is>
          <t>991004603889702656</t>
        </is>
      </c>
      <c r="AX174" t="inlineStr">
        <is>
          <t>991004603889702656</t>
        </is>
      </c>
      <c r="AY174" t="inlineStr">
        <is>
          <t>2263807630002656</t>
        </is>
      </c>
      <c r="AZ174" t="inlineStr">
        <is>
          <t>BOOK</t>
        </is>
      </c>
      <c r="BB174" t="inlineStr">
        <is>
          <t>9780029279205</t>
        </is>
      </c>
      <c r="BC174" t="inlineStr">
        <is>
          <t>32285000121185</t>
        </is>
      </c>
      <c r="BD174" t="inlineStr">
        <is>
          <t>893687906</t>
        </is>
      </c>
    </row>
    <row r="175">
      <c r="A175" t="inlineStr">
        <is>
          <t>No</t>
        </is>
      </c>
      <c r="B175" t="inlineStr">
        <is>
          <t>HV3006.A4 S45 1987</t>
        </is>
      </c>
      <c r="C175" t="inlineStr">
        <is>
          <t>0                      HV 3006000A  4                  S  45          1987</t>
        </is>
      </c>
      <c r="D175" t="inlineStr">
        <is>
          <t>Aging and mental retardation : extending the continuum / Marsha Mailick Seltzer and Marty Wyngaarden Krauss.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Seltzer, Marsha Mailick.</t>
        </is>
      </c>
      <c r="L175" t="inlineStr">
        <is>
          <t>Washington, DC : American Association on Mental Retardation, 1987.</t>
        </is>
      </c>
      <c r="M175" t="inlineStr">
        <is>
          <t>1987</t>
        </is>
      </c>
      <c r="O175" t="inlineStr">
        <is>
          <t>eng</t>
        </is>
      </c>
      <c r="P175" t="inlineStr">
        <is>
          <t>dcu</t>
        </is>
      </c>
      <c r="Q175" t="inlineStr">
        <is>
          <t>Monographs of the American Association on Mental Retardation, 0895-8009 ; 9</t>
        </is>
      </c>
      <c r="R175" t="inlineStr">
        <is>
          <t xml:space="preserve">HV </t>
        </is>
      </c>
      <c r="S175" t="n">
        <v>9</v>
      </c>
      <c r="T175" t="n">
        <v>9</v>
      </c>
      <c r="U175" t="inlineStr">
        <is>
          <t>2003-02-06</t>
        </is>
      </c>
      <c r="V175" t="inlineStr">
        <is>
          <t>2003-02-06</t>
        </is>
      </c>
      <c r="W175" t="inlineStr">
        <is>
          <t>1992-07-01</t>
        </is>
      </c>
      <c r="X175" t="inlineStr">
        <is>
          <t>1992-07-01</t>
        </is>
      </c>
      <c r="Y175" t="n">
        <v>234</v>
      </c>
      <c r="Z175" t="n">
        <v>192</v>
      </c>
      <c r="AA175" t="n">
        <v>199</v>
      </c>
      <c r="AB175" t="n">
        <v>3</v>
      </c>
      <c r="AC175" t="n">
        <v>3</v>
      </c>
      <c r="AD175" t="n">
        <v>8</v>
      </c>
      <c r="AE175" t="n">
        <v>8</v>
      </c>
      <c r="AF175" t="n">
        <v>1</v>
      </c>
      <c r="AG175" t="n">
        <v>1</v>
      </c>
      <c r="AH175" t="n">
        <v>2</v>
      </c>
      <c r="AI175" t="n">
        <v>2</v>
      </c>
      <c r="AJ175" t="n">
        <v>5</v>
      </c>
      <c r="AK175" t="n">
        <v>5</v>
      </c>
      <c r="AL175" t="n">
        <v>2</v>
      </c>
      <c r="AM175" t="n">
        <v>2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HYPERLINK("http://catalog.hathitrust.org/Record/000878932","HathiTrust Record")</f>
        <v/>
      </c>
      <c r="AS175">
        <f>HYPERLINK("https://creighton-primo.hosted.exlibrisgroup.com/primo-explore/search?tab=default_tab&amp;search_scope=EVERYTHING&amp;vid=01CRU&amp;lang=en_US&amp;offset=0&amp;query=any,contains,991001152939702656","Catalog Record")</f>
        <v/>
      </c>
      <c r="AT175">
        <f>HYPERLINK("http://www.worldcat.org/oclc/16831091","WorldCat Record")</f>
        <v/>
      </c>
      <c r="AU175" t="inlineStr">
        <is>
          <t>288949764:eng</t>
        </is>
      </c>
      <c r="AV175" t="inlineStr">
        <is>
          <t>16831091</t>
        </is>
      </c>
      <c r="AW175" t="inlineStr">
        <is>
          <t>991001152939702656</t>
        </is>
      </c>
      <c r="AX175" t="inlineStr">
        <is>
          <t>991001152939702656</t>
        </is>
      </c>
      <c r="AY175" t="inlineStr">
        <is>
          <t>2255909130002656</t>
        </is>
      </c>
      <c r="AZ175" t="inlineStr">
        <is>
          <t>BOOK</t>
        </is>
      </c>
      <c r="BB175" t="inlineStr">
        <is>
          <t>9780940898189</t>
        </is>
      </c>
      <c r="BC175" t="inlineStr">
        <is>
          <t>32285001180867</t>
        </is>
      </c>
      <c r="BD175" t="inlineStr">
        <is>
          <t>893237909</t>
        </is>
      </c>
    </row>
    <row r="176">
      <c r="A176" t="inlineStr">
        <is>
          <t>No</t>
        </is>
      </c>
      <c r="B176" t="inlineStr">
        <is>
          <t>HV3006.A4 T96 1984</t>
        </is>
      </c>
      <c r="C176" t="inlineStr">
        <is>
          <t>0                      HV 3006000A  4                  T  96          1984</t>
        </is>
      </c>
      <c r="D176" t="inlineStr">
        <is>
          <t>Caring for the retarded in America : a history / Peter L. Tyor and Leland V. Bell.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Tyor, Peter L.</t>
        </is>
      </c>
      <c r="L176" t="inlineStr">
        <is>
          <t>Westport, Conn. : Greenwood Press, 1984.</t>
        </is>
      </c>
      <c r="M176" t="inlineStr">
        <is>
          <t>1984</t>
        </is>
      </c>
      <c r="O176" t="inlineStr">
        <is>
          <t>eng</t>
        </is>
      </c>
      <c r="P176" t="inlineStr">
        <is>
          <t>ctu</t>
        </is>
      </c>
      <c r="Q176" t="inlineStr">
        <is>
          <t>Contributions in medical history, 0147-1058 ; no. 15</t>
        </is>
      </c>
      <c r="R176" t="inlineStr">
        <is>
          <t xml:space="preserve">HV </t>
        </is>
      </c>
      <c r="S176" t="n">
        <v>8</v>
      </c>
      <c r="T176" t="n">
        <v>8</v>
      </c>
      <c r="U176" t="inlineStr">
        <is>
          <t>2006-05-18</t>
        </is>
      </c>
      <c r="V176" t="inlineStr">
        <is>
          <t>2006-05-18</t>
        </is>
      </c>
      <c r="W176" t="inlineStr">
        <is>
          <t>1992-07-01</t>
        </is>
      </c>
      <c r="X176" t="inlineStr">
        <is>
          <t>1992-07-01</t>
        </is>
      </c>
      <c r="Y176" t="n">
        <v>525</v>
      </c>
      <c r="Z176" t="n">
        <v>472</v>
      </c>
      <c r="AA176" t="n">
        <v>474</v>
      </c>
      <c r="AB176" t="n">
        <v>4</v>
      </c>
      <c r="AC176" t="n">
        <v>4</v>
      </c>
      <c r="AD176" t="n">
        <v>18</v>
      </c>
      <c r="AE176" t="n">
        <v>18</v>
      </c>
      <c r="AF176" t="n">
        <v>8</v>
      </c>
      <c r="AG176" t="n">
        <v>8</v>
      </c>
      <c r="AH176" t="n">
        <v>5</v>
      </c>
      <c r="AI176" t="n">
        <v>5</v>
      </c>
      <c r="AJ176" t="n">
        <v>6</v>
      </c>
      <c r="AK176" t="n">
        <v>6</v>
      </c>
      <c r="AL176" t="n">
        <v>3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HYPERLINK("http://catalog.hathitrust.org/Record/000367605","HathiTrust Record")</f>
        <v/>
      </c>
      <c r="AS176">
        <f>HYPERLINK("https://creighton-primo.hosted.exlibrisgroup.com/primo-explore/search?tab=default_tab&amp;search_scope=EVERYTHING&amp;vid=01CRU&amp;lang=en_US&amp;offset=0&amp;query=any,contains,991000411979702656","Catalog Record")</f>
        <v/>
      </c>
      <c r="AT176">
        <f>HYPERLINK("http://www.worldcat.org/oclc/10711522","WorldCat Record")</f>
        <v/>
      </c>
      <c r="AU176" t="inlineStr">
        <is>
          <t>365425137:eng</t>
        </is>
      </c>
      <c r="AV176" t="inlineStr">
        <is>
          <t>10711522</t>
        </is>
      </c>
      <c r="AW176" t="inlineStr">
        <is>
          <t>991000411979702656</t>
        </is>
      </c>
      <c r="AX176" t="inlineStr">
        <is>
          <t>991000411979702656</t>
        </is>
      </c>
      <c r="AY176" t="inlineStr">
        <is>
          <t>2260234760002656</t>
        </is>
      </c>
      <c r="AZ176" t="inlineStr">
        <is>
          <t>BOOK</t>
        </is>
      </c>
      <c r="BB176" t="inlineStr">
        <is>
          <t>9780313209772</t>
        </is>
      </c>
      <c r="BC176" t="inlineStr">
        <is>
          <t>32285001180875</t>
        </is>
      </c>
      <c r="BD176" t="inlineStr">
        <is>
          <t>893515256</t>
        </is>
      </c>
    </row>
    <row r="177">
      <c r="A177" t="inlineStr">
        <is>
          <t>No</t>
        </is>
      </c>
      <c r="B177" t="inlineStr">
        <is>
          <t>HV3006.A4 V57 1985</t>
        </is>
      </c>
      <c r="C177" t="inlineStr">
        <is>
          <t>0                      HV 3006000A  4                  V  57          1985</t>
        </is>
      </c>
      <c r="D177" t="inlineStr">
        <is>
          <t>Mental retardation : its social and legal context / Stanley J. Vitello, Ronald M. Soskin.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Vitello, Stanley J.</t>
        </is>
      </c>
      <c r="L177" t="inlineStr">
        <is>
          <t>Englewood Cliffs, N.J. : Prentice-Hall, c1985.</t>
        </is>
      </c>
      <c r="M177" t="inlineStr">
        <is>
          <t>1985</t>
        </is>
      </c>
      <c r="O177" t="inlineStr">
        <is>
          <t>eng</t>
        </is>
      </c>
      <c r="P177" t="inlineStr">
        <is>
          <t>nju</t>
        </is>
      </c>
      <c r="R177" t="inlineStr">
        <is>
          <t xml:space="preserve">HV </t>
        </is>
      </c>
      <c r="S177" t="n">
        <v>7</v>
      </c>
      <c r="T177" t="n">
        <v>7</v>
      </c>
      <c r="U177" t="inlineStr">
        <is>
          <t>2010-02-04</t>
        </is>
      </c>
      <c r="V177" t="inlineStr">
        <is>
          <t>2010-02-04</t>
        </is>
      </c>
      <c r="W177" t="inlineStr">
        <is>
          <t>1992-04-15</t>
        </is>
      </c>
      <c r="X177" t="inlineStr">
        <is>
          <t>1992-04-15</t>
        </is>
      </c>
      <c r="Y177" t="n">
        <v>315</v>
      </c>
      <c r="Z177" t="n">
        <v>272</v>
      </c>
      <c r="AA177" t="n">
        <v>274</v>
      </c>
      <c r="AB177" t="n">
        <v>3</v>
      </c>
      <c r="AC177" t="n">
        <v>3</v>
      </c>
      <c r="AD177" t="n">
        <v>17</v>
      </c>
      <c r="AE177" t="n">
        <v>17</v>
      </c>
      <c r="AF177" t="n">
        <v>2</v>
      </c>
      <c r="AG177" t="n">
        <v>2</v>
      </c>
      <c r="AH177" t="n">
        <v>2</v>
      </c>
      <c r="AI177" t="n">
        <v>2</v>
      </c>
      <c r="AJ177" t="n">
        <v>3</v>
      </c>
      <c r="AK177" t="n">
        <v>3</v>
      </c>
      <c r="AL177" t="n">
        <v>2</v>
      </c>
      <c r="AM177" t="n">
        <v>2</v>
      </c>
      <c r="AN177" t="n">
        <v>8</v>
      </c>
      <c r="AO177" t="n">
        <v>8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HYPERLINK("http://catalog.hathitrust.org/Record/000286871","HathiTrust Record")</f>
        <v/>
      </c>
      <c r="AS177">
        <f>HYPERLINK("https://creighton-primo.hosted.exlibrisgroup.com/primo-explore/search?tab=default_tab&amp;search_scope=EVERYTHING&amp;vid=01CRU&amp;lang=en_US&amp;offset=0&amp;query=any,contains,991000429189702656","Catalog Record")</f>
        <v/>
      </c>
      <c r="AT177">
        <f>HYPERLINK("http://www.worldcat.org/oclc/10777387","WorldCat Record")</f>
        <v/>
      </c>
      <c r="AU177" t="inlineStr">
        <is>
          <t>373660716:eng</t>
        </is>
      </c>
      <c r="AV177" t="inlineStr">
        <is>
          <t>10777387</t>
        </is>
      </c>
      <c r="AW177" t="inlineStr">
        <is>
          <t>991000429189702656</t>
        </is>
      </c>
      <c r="AX177" t="inlineStr">
        <is>
          <t>991000429189702656</t>
        </is>
      </c>
      <c r="AY177" t="inlineStr">
        <is>
          <t>2265295060002656</t>
        </is>
      </c>
      <c r="AZ177" t="inlineStr">
        <is>
          <t>BOOK</t>
        </is>
      </c>
      <c r="BB177" t="inlineStr">
        <is>
          <t>9780135765210</t>
        </is>
      </c>
      <c r="BC177" t="inlineStr">
        <is>
          <t>32285001061026</t>
        </is>
      </c>
      <c r="BD177" t="inlineStr">
        <is>
          <t>893884372</t>
        </is>
      </c>
    </row>
    <row r="178">
      <c r="A178" t="inlineStr">
        <is>
          <t>No</t>
        </is>
      </c>
      <c r="B178" t="inlineStr">
        <is>
          <t>HV3009.5.A35 A35 1985</t>
        </is>
      </c>
      <c r="C178" t="inlineStr">
        <is>
          <t>0                      HV 3009500A  35                 A  35          1985</t>
        </is>
      </c>
      <c r="D178" t="inlineStr">
        <is>
          <t>Aging and developmental disabilities : issues and approaches / edited by Matthew P. Janicki, Henryk M. Wisniewski.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L178" t="inlineStr">
        <is>
          <t>Baltimore : Brookes, c1985.</t>
        </is>
      </c>
      <c r="M178" t="inlineStr">
        <is>
          <t>1985</t>
        </is>
      </c>
      <c r="O178" t="inlineStr">
        <is>
          <t>eng</t>
        </is>
      </c>
      <c r="P178" t="inlineStr">
        <is>
          <t>mdu</t>
        </is>
      </c>
      <c r="R178" t="inlineStr">
        <is>
          <t xml:space="preserve">HV </t>
        </is>
      </c>
      <c r="S178" t="n">
        <v>6</v>
      </c>
      <c r="T178" t="n">
        <v>6</v>
      </c>
      <c r="U178" t="inlineStr">
        <is>
          <t>2003-03-30</t>
        </is>
      </c>
      <c r="V178" t="inlineStr">
        <is>
          <t>2003-03-30</t>
        </is>
      </c>
      <c r="W178" t="inlineStr">
        <is>
          <t>1992-07-01</t>
        </is>
      </c>
      <c r="X178" t="inlineStr">
        <is>
          <t>1992-07-01</t>
        </is>
      </c>
      <c r="Y178" t="n">
        <v>309</v>
      </c>
      <c r="Z178" t="n">
        <v>247</v>
      </c>
      <c r="AA178" t="n">
        <v>254</v>
      </c>
      <c r="AB178" t="n">
        <v>2</v>
      </c>
      <c r="AC178" t="n">
        <v>2</v>
      </c>
      <c r="AD178" t="n">
        <v>7</v>
      </c>
      <c r="AE178" t="n">
        <v>7</v>
      </c>
      <c r="AF178" t="n">
        <v>3</v>
      </c>
      <c r="AG178" t="n">
        <v>3</v>
      </c>
      <c r="AH178" t="n">
        <v>1</v>
      </c>
      <c r="AI178" t="n">
        <v>1</v>
      </c>
      <c r="AJ178" t="n">
        <v>3</v>
      </c>
      <c r="AK178" t="n">
        <v>3</v>
      </c>
      <c r="AL178" t="n">
        <v>1</v>
      </c>
      <c r="AM178" t="n">
        <v>1</v>
      </c>
      <c r="AN178" t="n">
        <v>1</v>
      </c>
      <c r="AO178" t="n">
        <v>1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HYPERLINK("http://catalog.hathitrust.org/Record/000413247","HathiTrust Record")</f>
        <v/>
      </c>
      <c r="AS178">
        <f>HYPERLINK("https://creighton-primo.hosted.exlibrisgroup.com/primo-explore/search?tab=default_tab&amp;search_scope=EVERYTHING&amp;vid=01CRU&amp;lang=en_US&amp;offset=0&amp;query=any,contains,991000564699702656","Catalog Record")</f>
        <v/>
      </c>
      <c r="AT178">
        <f>HYPERLINK("http://www.worldcat.org/oclc/11621428","WorldCat Record")</f>
        <v/>
      </c>
      <c r="AU178" t="inlineStr">
        <is>
          <t>836698761:eng</t>
        </is>
      </c>
      <c r="AV178" t="inlineStr">
        <is>
          <t>11621428</t>
        </is>
      </c>
      <c r="AW178" t="inlineStr">
        <is>
          <t>991000564699702656</t>
        </is>
      </c>
      <c r="AX178" t="inlineStr">
        <is>
          <t>991000564699702656</t>
        </is>
      </c>
      <c r="AY178" t="inlineStr">
        <is>
          <t>2263445190002656</t>
        </is>
      </c>
      <c r="AZ178" t="inlineStr">
        <is>
          <t>BOOK</t>
        </is>
      </c>
      <c r="BB178" t="inlineStr">
        <is>
          <t>9780933716469</t>
        </is>
      </c>
      <c r="BC178" t="inlineStr">
        <is>
          <t>32285001180909</t>
        </is>
      </c>
      <c r="BD178" t="inlineStr">
        <is>
          <t>893321157</t>
        </is>
      </c>
    </row>
    <row r="179">
      <c r="A179" t="inlineStr">
        <is>
          <t>No</t>
        </is>
      </c>
      <c r="B179" t="inlineStr">
        <is>
          <t>HV3011 .M5</t>
        </is>
      </c>
      <c r="C179" t="inlineStr">
        <is>
          <t>0                      HV 3011000M  5</t>
        </is>
      </c>
      <c r="D179" t="inlineStr">
        <is>
          <t>The physically handicapped and the community: some challenging breakthroughs.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Michaux, Louis Arthur.</t>
        </is>
      </c>
      <c r="L179" t="inlineStr">
        <is>
          <t>Springfield, Ill., C. Thomas [c1970]</t>
        </is>
      </c>
      <c r="M179" t="inlineStr">
        <is>
          <t>1970</t>
        </is>
      </c>
      <c r="O179" t="inlineStr">
        <is>
          <t>eng</t>
        </is>
      </c>
      <c r="P179" t="inlineStr">
        <is>
          <t>ilu</t>
        </is>
      </c>
      <c r="R179" t="inlineStr">
        <is>
          <t xml:space="preserve">HV </t>
        </is>
      </c>
      <c r="S179" t="n">
        <v>2</v>
      </c>
      <c r="T179" t="n">
        <v>2</v>
      </c>
      <c r="U179" t="inlineStr">
        <is>
          <t>2001-04-09</t>
        </is>
      </c>
      <c r="V179" t="inlineStr">
        <is>
          <t>2001-04-09</t>
        </is>
      </c>
      <c r="W179" t="inlineStr">
        <is>
          <t>1997-08-22</t>
        </is>
      </c>
      <c r="X179" t="inlineStr">
        <is>
          <t>1997-08-22</t>
        </is>
      </c>
      <c r="Y179" t="n">
        <v>295</v>
      </c>
      <c r="Z179" t="n">
        <v>263</v>
      </c>
      <c r="AA179" t="n">
        <v>265</v>
      </c>
      <c r="AB179" t="n">
        <v>4</v>
      </c>
      <c r="AC179" t="n">
        <v>4</v>
      </c>
      <c r="AD179" t="n">
        <v>7</v>
      </c>
      <c r="AE179" t="n">
        <v>7</v>
      </c>
      <c r="AF179" t="n">
        <v>1</v>
      </c>
      <c r="AG179" t="n">
        <v>1</v>
      </c>
      <c r="AH179" t="n">
        <v>0</v>
      </c>
      <c r="AI179" t="n">
        <v>0</v>
      </c>
      <c r="AJ179" t="n">
        <v>3</v>
      </c>
      <c r="AK179" t="n">
        <v>3</v>
      </c>
      <c r="AL179" t="n">
        <v>3</v>
      </c>
      <c r="AM179" t="n">
        <v>3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HYPERLINK("http://catalog.hathitrust.org/Record/000001937","HathiTrust Record")</f>
        <v/>
      </c>
      <c r="AS179">
        <f>HYPERLINK("https://creighton-primo.hosted.exlibrisgroup.com/primo-explore/search?tab=default_tab&amp;search_scope=EVERYTHING&amp;vid=01CRU&amp;lang=en_US&amp;offset=0&amp;query=any,contains,991000778289702656","Catalog Record")</f>
        <v/>
      </c>
      <c r="AT179">
        <f>HYPERLINK("http://www.worldcat.org/oclc/134054","WorldCat Record")</f>
        <v/>
      </c>
      <c r="AU179" t="inlineStr">
        <is>
          <t>197848786:eng</t>
        </is>
      </c>
      <c r="AV179" t="inlineStr">
        <is>
          <t>134054</t>
        </is>
      </c>
      <c r="AW179" t="inlineStr">
        <is>
          <t>991000778289702656</t>
        </is>
      </c>
      <c r="AX179" t="inlineStr">
        <is>
          <t>991000778289702656</t>
        </is>
      </c>
      <c r="AY179" t="inlineStr">
        <is>
          <t>2260877650002656</t>
        </is>
      </c>
      <c r="AZ179" t="inlineStr">
        <is>
          <t>BOOK</t>
        </is>
      </c>
      <c r="BC179" t="inlineStr">
        <is>
          <t>32285003157269</t>
        </is>
      </c>
      <c r="BD179" t="inlineStr">
        <is>
          <t>893339882</t>
        </is>
      </c>
    </row>
    <row r="180">
      <c r="A180" t="inlineStr">
        <is>
          <t>No</t>
        </is>
      </c>
      <c r="B180" t="inlineStr">
        <is>
          <t>HV3021.W66 M37 2004</t>
        </is>
      </c>
      <c r="C180" t="inlineStr">
        <is>
          <t>0                      HV 3021000W  66                 M  37          2004</t>
        </is>
      </c>
      <c r="D180" t="inlineStr">
        <is>
          <t>Working against odds : stories of disabled women's work lives / Mary Grimley Mason ; with a foreword by Rosemarie Garland-Thomson.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Mason, Mary Grimley.</t>
        </is>
      </c>
      <c r="L180" t="inlineStr">
        <is>
          <t>Boston : Northeastern University Press, c2004.</t>
        </is>
      </c>
      <c r="M180" t="inlineStr">
        <is>
          <t>2004</t>
        </is>
      </c>
      <c r="O180" t="inlineStr">
        <is>
          <t>eng</t>
        </is>
      </c>
      <c r="P180" t="inlineStr">
        <is>
          <t>mau</t>
        </is>
      </c>
      <c r="R180" t="inlineStr">
        <is>
          <t xml:space="preserve">HV </t>
        </is>
      </c>
      <c r="S180" t="n">
        <v>1</v>
      </c>
      <c r="T180" t="n">
        <v>1</v>
      </c>
      <c r="U180" t="inlineStr">
        <is>
          <t>2006-12-13</t>
        </is>
      </c>
      <c r="V180" t="inlineStr">
        <is>
          <t>2006-12-13</t>
        </is>
      </c>
      <c r="W180" t="inlineStr">
        <is>
          <t>2006-12-13</t>
        </is>
      </c>
      <c r="X180" t="inlineStr">
        <is>
          <t>2006-12-13</t>
        </is>
      </c>
      <c r="Y180" t="n">
        <v>482</v>
      </c>
      <c r="Z180" t="n">
        <v>423</v>
      </c>
      <c r="AA180" t="n">
        <v>430</v>
      </c>
      <c r="AB180" t="n">
        <v>4</v>
      </c>
      <c r="AC180" t="n">
        <v>4</v>
      </c>
      <c r="AD180" t="n">
        <v>25</v>
      </c>
      <c r="AE180" t="n">
        <v>25</v>
      </c>
      <c r="AF180" t="n">
        <v>11</v>
      </c>
      <c r="AG180" t="n">
        <v>11</v>
      </c>
      <c r="AH180" t="n">
        <v>7</v>
      </c>
      <c r="AI180" t="n">
        <v>7</v>
      </c>
      <c r="AJ180" t="n">
        <v>11</v>
      </c>
      <c r="AK180" t="n">
        <v>11</v>
      </c>
      <c r="AL180" t="n">
        <v>3</v>
      </c>
      <c r="AM180" t="n">
        <v>3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HYPERLINK("http://catalog.hathitrust.org/Record/004763602","HathiTrust Record")</f>
        <v/>
      </c>
      <c r="AS180">
        <f>HYPERLINK("https://creighton-primo.hosted.exlibrisgroup.com/primo-explore/search?tab=default_tab&amp;search_scope=EVERYTHING&amp;vid=01CRU&amp;lang=en_US&amp;offset=0&amp;query=any,contains,991004994579702656","Catalog Record")</f>
        <v/>
      </c>
      <c r="AT180">
        <f>HYPERLINK("http://www.worldcat.org/oclc/55595641","WorldCat Record")</f>
        <v/>
      </c>
      <c r="AU180" t="inlineStr">
        <is>
          <t>996830:eng</t>
        </is>
      </c>
      <c r="AV180" t="inlineStr">
        <is>
          <t>55595641</t>
        </is>
      </c>
      <c r="AW180" t="inlineStr">
        <is>
          <t>991004994579702656</t>
        </is>
      </c>
      <c r="AX180" t="inlineStr">
        <is>
          <t>991004994579702656</t>
        </is>
      </c>
      <c r="AY180" t="inlineStr">
        <is>
          <t>2259543320002656</t>
        </is>
      </c>
      <c r="AZ180" t="inlineStr">
        <is>
          <t>BOOK</t>
        </is>
      </c>
      <c r="BB180" t="inlineStr">
        <is>
          <t>9781555536305</t>
        </is>
      </c>
      <c r="BC180" t="inlineStr">
        <is>
          <t>32285005266167</t>
        </is>
      </c>
      <c r="BD180" t="inlineStr">
        <is>
          <t>893254301</t>
        </is>
      </c>
    </row>
    <row r="181">
      <c r="A181" t="inlineStr">
        <is>
          <t>No</t>
        </is>
      </c>
      <c r="B181" t="inlineStr">
        <is>
          <t>HV3024.N67 M45 1995</t>
        </is>
      </c>
      <c r="C181" t="inlineStr">
        <is>
          <t>0                      HV 3024000N  67                 M  45          1995</t>
        </is>
      </c>
      <c r="D181" t="inlineStr">
        <is>
          <t>Disability and religion in Northern Ireland / by Martin Melaugh.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Melaugh, M. (Martin)</t>
        </is>
      </c>
      <c r="L181" t="inlineStr">
        <is>
          <t>Coleraine : Centre for the Study of Conflict, University of Ulster, 1995.</t>
        </is>
      </c>
      <c r="M181" t="inlineStr">
        <is>
          <t>1995</t>
        </is>
      </c>
      <c r="O181" t="inlineStr">
        <is>
          <t>eng</t>
        </is>
      </c>
      <c r="P181" t="inlineStr">
        <is>
          <t>nik</t>
        </is>
      </c>
      <c r="R181" t="inlineStr">
        <is>
          <t xml:space="preserve">HV </t>
        </is>
      </c>
      <c r="S181" t="n">
        <v>1</v>
      </c>
      <c r="T181" t="n">
        <v>1</v>
      </c>
      <c r="U181" t="inlineStr">
        <is>
          <t>2008-03-19</t>
        </is>
      </c>
      <c r="V181" t="inlineStr">
        <is>
          <t>2008-03-19</t>
        </is>
      </c>
      <c r="W181" t="inlineStr">
        <is>
          <t>1997-02-05</t>
        </is>
      </c>
      <c r="X181" t="inlineStr">
        <is>
          <t>1997-02-05</t>
        </is>
      </c>
      <c r="Y181" t="n">
        <v>12</v>
      </c>
      <c r="Z181" t="n">
        <v>4</v>
      </c>
      <c r="AA181" t="n">
        <v>4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HYPERLINK("https://creighton-primo.hosted.exlibrisgroup.com/primo-explore/search?tab=default_tab&amp;search_scope=EVERYTHING&amp;vid=01CRU&amp;lang=en_US&amp;offset=0&amp;query=any,contains,991002515189702656","Catalog Record")</f>
        <v/>
      </c>
      <c r="AT181">
        <f>HYPERLINK("http://www.worldcat.org/oclc/32702578","WorldCat Record")</f>
        <v/>
      </c>
      <c r="AU181" t="inlineStr">
        <is>
          <t>36294292:eng</t>
        </is>
      </c>
      <c r="AV181" t="inlineStr">
        <is>
          <t>32702578</t>
        </is>
      </c>
      <c r="AW181" t="inlineStr">
        <is>
          <t>991002515189702656</t>
        </is>
      </c>
      <c r="AX181" t="inlineStr">
        <is>
          <t>991002515189702656</t>
        </is>
      </c>
      <c r="AY181" t="inlineStr">
        <is>
          <t>2272279740002656</t>
        </is>
      </c>
      <c r="AZ181" t="inlineStr">
        <is>
          <t>BOOK</t>
        </is>
      </c>
      <c r="BB181" t="inlineStr">
        <is>
          <t>9781859230466</t>
        </is>
      </c>
      <c r="BC181" t="inlineStr">
        <is>
          <t>32285002414323</t>
        </is>
      </c>
      <c r="BD181" t="inlineStr">
        <is>
          <t>893440234</t>
        </is>
      </c>
    </row>
    <row r="182">
      <c r="A182" t="inlineStr">
        <is>
          <t>No</t>
        </is>
      </c>
      <c r="B182" t="inlineStr">
        <is>
          <t>HV31 .C383 1996</t>
        </is>
      </c>
      <c r="C182" t="inlineStr">
        <is>
          <t>0                      HV 0031000C  383         1996</t>
        </is>
      </c>
      <c r="D182" t="inlineStr">
        <is>
          <t>Approaches to the welfare state / Pranab Chatterjee.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Chatterjee, Pranab, 1936-</t>
        </is>
      </c>
      <c r="L182" t="inlineStr">
        <is>
          <t>Washington, DC : NASW Press, c1996.</t>
        </is>
      </c>
      <c r="M182" t="inlineStr">
        <is>
          <t>1996</t>
        </is>
      </c>
      <c r="O182" t="inlineStr">
        <is>
          <t>eng</t>
        </is>
      </c>
      <c r="P182" t="inlineStr">
        <is>
          <t>dcu</t>
        </is>
      </c>
      <c r="R182" t="inlineStr">
        <is>
          <t xml:space="preserve">HV </t>
        </is>
      </c>
      <c r="S182" t="n">
        <v>3</v>
      </c>
      <c r="T182" t="n">
        <v>3</v>
      </c>
      <c r="U182" t="inlineStr">
        <is>
          <t>2006-12-09</t>
        </is>
      </c>
      <c r="V182" t="inlineStr">
        <is>
          <t>2006-12-09</t>
        </is>
      </c>
      <c r="W182" t="inlineStr">
        <is>
          <t>2000-01-25</t>
        </is>
      </c>
      <c r="X182" t="inlineStr">
        <is>
          <t>2000-01-25</t>
        </is>
      </c>
      <c r="Y182" t="n">
        <v>357</v>
      </c>
      <c r="Z182" t="n">
        <v>293</v>
      </c>
      <c r="AA182" t="n">
        <v>295</v>
      </c>
      <c r="AB182" t="n">
        <v>2</v>
      </c>
      <c r="AC182" t="n">
        <v>2</v>
      </c>
      <c r="AD182" t="n">
        <v>18</v>
      </c>
      <c r="AE182" t="n">
        <v>18</v>
      </c>
      <c r="AF182" t="n">
        <v>7</v>
      </c>
      <c r="AG182" t="n">
        <v>7</v>
      </c>
      <c r="AH182" t="n">
        <v>6</v>
      </c>
      <c r="AI182" t="n">
        <v>6</v>
      </c>
      <c r="AJ182" t="n">
        <v>8</v>
      </c>
      <c r="AK182" t="n">
        <v>8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HYPERLINK("http://catalog.hathitrust.org/Record/003052775","HathiTrust Record")</f>
        <v/>
      </c>
      <c r="AS182">
        <f>HYPERLINK("https://creighton-primo.hosted.exlibrisgroup.com/primo-explore/search?tab=default_tab&amp;search_scope=EVERYTHING&amp;vid=01CRU&amp;lang=en_US&amp;offset=0&amp;query=any,contains,991002590879702656","Catalog Record")</f>
        <v/>
      </c>
      <c r="AT182">
        <f>HYPERLINK("http://www.worldcat.org/oclc/33948190","WorldCat Record")</f>
        <v/>
      </c>
      <c r="AU182" t="inlineStr">
        <is>
          <t>39476071:eng</t>
        </is>
      </c>
      <c r="AV182" t="inlineStr">
        <is>
          <t>33948190</t>
        </is>
      </c>
      <c r="AW182" t="inlineStr">
        <is>
          <t>991002590879702656</t>
        </is>
      </c>
      <c r="AX182" t="inlineStr">
        <is>
          <t>991002590879702656</t>
        </is>
      </c>
      <c r="AY182" t="inlineStr">
        <is>
          <t>2260887620002656</t>
        </is>
      </c>
      <c r="AZ182" t="inlineStr">
        <is>
          <t>BOOK</t>
        </is>
      </c>
      <c r="BB182" t="inlineStr">
        <is>
          <t>9780871012623</t>
        </is>
      </c>
      <c r="BC182" t="inlineStr">
        <is>
          <t>32285003644266</t>
        </is>
      </c>
      <c r="BD182" t="inlineStr">
        <is>
          <t>893523811</t>
        </is>
      </c>
    </row>
    <row r="183">
      <c r="A183" t="inlineStr">
        <is>
          <t>No</t>
        </is>
      </c>
      <c r="B183" t="inlineStr">
        <is>
          <t>HV31 .M24</t>
        </is>
      </c>
      <c r="C183" t="inlineStr">
        <is>
          <t>0                      HV 0031000M  24</t>
        </is>
      </c>
      <c r="D183" t="inlineStr">
        <is>
          <t>Work and welfare : the unholy alliance / David Macarov.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Macarov, David.</t>
        </is>
      </c>
      <c r="L183" t="inlineStr">
        <is>
          <t>Beverly Hills, Calif. : Sage Publications, c1980.</t>
        </is>
      </c>
      <c r="M183" t="inlineStr">
        <is>
          <t>1980</t>
        </is>
      </c>
      <c r="O183" t="inlineStr">
        <is>
          <t>eng</t>
        </is>
      </c>
      <c r="P183" t="inlineStr">
        <is>
          <t>cau</t>
        </is>
      </c>
      <c r="Q183" t="inlineStr">
        <is>
          <t>Sage library of social research ; v. 99</t>
        </is>
      </c>
      <c r="R183" t="inlineStr">
        <is>
          <t xml:space="preserve">HV </t>
        </is>
      </c>
      <c r="S183" t="n">
        <v>5</v>
      </c>
      <c r="T183" t="n">
        <v>5</v>
      </c>
      <c r="U183" t="inlineStr">
        <is>
          <t>1995-10-20</t>
        </is>
      </c>
      <c r="V183" t="inlineStr">
        <is>
          <t>1995-10-20</t>
        </is>
      </c>
      <c r="W183" t="inlineStr">
        <is>
          <t>1990-04-10</t>
        </is>
      </c>
      <c r="X183" t="inlineStr">
        <is>
          <t>1990-04-10</t>
        </is>
      </c>
      <c r="Y183" t="n">
        <v>373</v>
      </c>
      <c r="Z183" t="n">
        <v>288</v>
      </c>
      <c r="AA183" t="n">
        <v>290</v>
      </c>
      <c r="AB183" t="n">
        <v>2</v>
      </c>
      <c r="AC183" t="n">
        <v>2</v>
      </c>
      <c r="AD183" t="n">
        <v>11</v>
      </c>
      <c r="AE183" t="n">
        <v>11</v>
      </c>
      <c r="AF183" t="n">
        <v>4</v>
      </c>
      <c r="AG183" t="n">
        <v>4</v>
      </c>
      <c r="AH183" t="n">
        <v>3</v>
      </c>
      <c r="AI183" t="n">
        <v>3</v>
      </c>
      <c r="AJ183" t="n">
        <v>7</v>
      </c>
      <c r="AK183" t="n">
        <v>7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HYPERLINK("http://catalog.hathitrust.org/Record/000032039","HathiTrust Record")</f>
        <v/>
      </c>
      <c r="AS183">
        <f>HYPERLINK("https://creighton-primo.hosted.exlibrisgroup.com/primo-explore/search?tab=default_tab&amp;search_scope=EVERYTHING&amp;vid=01CRU&amp;lang=en_US&amp;offset=0&amp;query=any,contains,991004878139702656","Catalog Record")</f>
        <v/>
      </c>
      <c r="AT183">
        <f>HYPERLINK("http://www.worldcat.org/oclc/5799931","WorldCat Record")</f>
        <v/>
      </c>
      <c r="AU183" t="inlineStr">
        <is>
          <t>20379600:eng</t>
        </is>
      </c>
      <c r="AV183" t="inlineStr">
        <is>
          <t>5799931</t>
        </is>
      </c>
      <c r="AW183" t="inlineStr">
        <is>
          <t>991004878139702656</t>
        </is>
      </c>
      <c r="AX183" t="inlineStr">
        <is>
          <t>991004878139702656</t>
        </is>
      </c>
      <c r="AY183" t="inlineStr">
        <is>
          <t>2269417710002656</t>
        </is>
      </c>
      <c r="AZ183" t="inlineStr">
        <is>
          <t>BOOK</t>
        </is>
      </c>
      <c r="BB183" t="inlineStr">
        <is>
          <t>9780803914087</t>
        </is>
      </c>
      <c r="BC183" t="inlineStr">
        <is>
          <t>32285000120302</t>
        </is>
      </c>
      <c r="BD183" t="inlineStr">
        <is>
          <t>893889395</t>
        </is>
      </c>
    </row>
    <row r="184">
      <c r="A184" t="inlineStr">
        <is>
          <t>No</t>
        </is>
      </c>
      <c r="B184" t="inlineStr">
        <is>
          <t>HV31 .N67</t>
        </is>
      </c>
      <c r="C184" t="inlineStr">
        <is>
          <t>0                      HV 0031000N  67</t>
        </is>
      </c>
      <c r="D184" t="inlineStr">
        <is>
          <t>Clinical social work / by Helen Northen.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Northen, Helen.</t>
        </is>
      </c>
      <c r="L184" t="inlineStr">
        <is>
          <t>New York : Columbia University Press, 1982.</t>
        </is>
      </c>
      <c r="M184" t="inlineStr">
        <is>
          <t>1982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HV </t>
        </is>
      </c>
      <c r="S184" t="n">
        <v>2</v>
      </c>
      <c r="T184" t="n">
        <v>2</v>
      </c>
      <c r="U184" t="inlineStr">
        <is>
          <t>2010-04-22</t>
        </is>
      </c>
      <c r="V184" t="inlineStr">
        <is>
          <t>2010-04-22</t>
        </is>
      </c>
      <c r="W184" t="inlineStr">
        <is>
          <t>1990-07-20</t>
        </is>
      </c>
      <c r="X184" t="inlineStr">
        <is>
          <t>1990-07-20</t>
        </is>
      </c>
      <c r="Y184" t="n">
        <v>339</v>
      </c>
      <c r="Z184" t="n">
        <v>267</v>
      </c>
      <c r="AA184" t="n">
        <v>412</v>
      </c>
      <c r="AB184" t="n">
        <v>3</v>
      </c>
      <c r="AC184" t="n">
        <v>3</v>
      </c>
      <c r="AD184" t="n">
        <v>10</v>
      </c>
      <c r="AE184" t="n">
        <v>19</v>
      </c>
      <c r="AF184" t="n">
        <v>4</v>
      </c>
      <c r="AG184" t="n">
        <v>7</v>
      </c>
      <c r="AH184" t="n">
        <v>3</v>
      </c>
      <c r="AI184" t="n">
        <v>6</v>
      </c>
      <c r="AJ184" t="n">
        <v>5</v>
      </c>
      <c r="AK184" t="n">
        <v>10</v>
      </c>
      <c r="AL184" t="n">
        <v>2</v>
      </c>
      <c r="AM184" t="n">
        <v>2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HYPERLINK("https://creighton-primo.hosted.exlibrisgroup.com/primo-explore/search?tab=default_tab&amp;search_scope=EVERYTHING&amp;vid=01CRU&amp;lang=en_US&amp;offset=0&amp;query=any,contains,991005141649702656","Catalog Record")</f>
        <v/>
      </c>
      <c r="AT184">
        <f>HYPERLINK("http://www.worldcat.org/oclc/7615033","WorldCat Record")</f>
        <v/>
      </c>
      <c r="AU184" t="inlineStr">
        <is>
          <t>419856:eng</t>
        </is>
      </c>
      <c r="AV184" t="inlineStr">
        <is>
          <t>7615033</t>
        </is>
      </c>
      <c r="AW184" t="inlineStr">
        <is>
          <t>991005141649702656</t>
        </is>
      </c>
      <c r="AX184" t="inlineStr">
        <is>
          <t>991005141649702656</t>
        </is>
      </c>
      <c r="AY184" t="inlineStr">
        <is>
          <t>2255311730002656</t>
        </is>
      </c>
      <c r="AZ184" t="inlineStr">
        <is>
          <t>BOOK</t>
        </is>
      </c>
      <c r="BB184" t="inlineStr">
        <is>
          <t>9780231038003</t>
        </is>
      </c>
      <c r="BC184" t="inlineStr">
        <is>
          <t>32285000246255</t>
        </is>
      </c>
      <c r="BD184" t="inlineStr">
        <is>
          <t>893520499</t>
        </is>
      </c>
    </row>
    <row r="185">
      <c r="A185" t="inlineStr">
        <is>
          <t>No</t>
        </is>
      </c>
      <c r="B185" t="inlineStr">
        <is>
          <t>HV3176 .D59 2001</t>
        </is>
      </c>
      <c r="C185" t="inlineStr">
        <is>
          <t>0                      HV 3176000D  59          2001</t>
        </is>
      </c>
      <c r="D185" t="inlineStr">
        <is>
          <t>Diversity, oppression, and social functioning : person-in-environment assessment and intervention / George A. Appleby, Edgar Colon, Julia Hamilton, co-editors.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Yes</t>
        </is>
      </c>
      <c r="J185" t="inlineStr">
        <is>
          <t>0</t>
        </is>
      </c>
      <c r="L185" t="inlineStr">
        <is>
          <t>Boston : Allyn and Bacon, 2001.</t>
        </is>
      </c>
      <c r="M185" t="inlineStr">
        <is>
          <t>2001</t>
        </is>
      </c>
      <c r="O185" t="inlineStr">
        <is>
          <t>eng</t>
        </is>
      </c>
      <c r="P185" t="inlineStr">
        <is>
          <t>mau</t>
        </is>
      </c>
      <c r="R185" t="inlineStr">
        <is>
          <t xml:space="preserve">HV </t>
        </is>
      </c>
      <c r="S185" t="n">
        <v>3</v>
      </c>
      <c r="T185" t="n">
        <v>3</v>
      </c>
      <c r="U185" t="inlineStr">
        <is>
          <t>2009-10-29</t>
        </is>
      </c>
      <c r="V185" t="inlineStr">
        <is>
          <t>2009-10-29</t>
        </is>
      </c>
      <c r="W185" t="inlineStr">
        <is>
          <t>2004-11-29</t>
        </is>
      </c>
      <c r="X185" t="inlineStr">
        <is>
          <t>2004-11-29</t>
        </is>
      </c>
      <c r="Y185" t="n">
        <v>210</v>
      </c>
      <c r="Z185" t="n">
        <v>169</v>
      </c>
      <c r="AA185" t="n">
        <v>261</v>
      </c>
      <c r="AB185" t="n">
        <v>1</v>
      </c>
      <c r="AC185" t="n">
        <v>1</v>
      </c>
      <c r="AD185" t="n">
        <v>11</v>
      </c>
      <c r="AE185" t="n">
        <v>12</v>
      </c>
      <c r="AF185" t="n">
        <v>3</v>
      </c>
      <c r="AG185" t="n">
        <v>3</v>
      </c>
      <c r="AH185" t="n">
        <v>1</v>
      </c>
      <c r="AI185" t="n">
        <v>2</v>
      </c>
      <c r="AJ185" t="n">
        <v>10</v>
      </c>
      <c r="AK185" t="n">
        <v>11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HYPERLINK("https://creighton-primo.hosted.exlibrisgroup.com/primo-explore/search?tab=default_tab&amp;search_scope=EVERYTHING&amp;vid=01CRU&amp;lang=en_US&amp;offset=0&amp;query=any,contains,991004424229702656","Catalog Record")</f>
        <v/>
      </c>
      <c r="AT185">
        <f>HYPERLINK("http://www.worldcat.org/oclc/44634344","WorldCat Record")</f>
        <v/>
      </c>
      <c r="AU185" t="inlineStr">
        <is>
          <t>47024790:eng</t>
        </is>
      </c>
      <c r="AV185" t="inlineStr">
        <is>
          <t>44634344</t>
        </is>
      </c>
      <c r="AW185" t="inlineStr">
        <is>
          <t>991004424229702656</t>
        </is>
      </c>
      <c r="AX185" t="inlineStr">
        <is>
          <t>991004424229702656</t>
        </is>
      </c>
      <c r="AY185" t="inlineStr">
        <is>
          <t>2257302860002656</t>
        </is>
      </c>
      <c r="AZ185" t="inlineStr">
        <is>
          <t>BOOK</t>
        </is>
      </c>
      <c r="BB185" t="inlineStr">
        <is>
          <t>9780205298891</t>
        </is>
      </c>
      <c r="BC185" t="inlineStr">
        <is>
          <t>32285005013106</t>
        </is>
      </c>
      <c r="BD185" t="inlineStr">
        <is>
          <t>893430046</t>
        </is>
      </c>
    </row>
    <row r="186">
      <c r="A186" t="inlineStr">
        <is>
          <t>No</t>
        </is>
      </c>
      <c r="B186" t="inlineStr">
        <is>
          <t>HV3176 .E83 1988</t>
        </is>
      </c>
      <c r="C186" t="inlineStr">
        <is>
          <t>0                      HV 3176000E  83          1988</t>
        </is>
      </c>
      <c r="D186" t="inlineStr">
        <is>
          <t>Ethnicity &amp; race : critical concepts in social work / Carolyn Jacobs and Dorcas D. Bowles, editors.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Silver Spring, MD : National Association of Social Workers, c1988.</t>
        </is>
      </c>
      <c r="M186" t="inlineStr">
        <is>
          <t>1988</t>
        </is>
      </c>
      <c r="O186" t="inlineStr">
        <is>
          <t>eng</t>
        </is>
      </c>
      <c r="P186" t="inlineStr">
        <is>
          <t>mdu</t>
        </is>
      </c>
      <c r="R186" t="inlineStr">
        <is>
          <t xml:space="preserve">HV </t>
        </is>
      </c>
      <c r="S186" t="n">
        <v>8</v>
      </c>
      <c r="T186" t="n">
        <v>8</v>
      </c>
      <c r="U186" t="inlineStr">
        <is>
          <t>2005-03-15</t>
        </is>
      </c>
      <c r="V186" t="inlineStr">
        <is>
          <t>2005-03-15</t>
        </is>
      </c>
      <c r="W186" t="inlineStr">
        <is>
          <t>1990-05-02</t>
        </is>
      </c>
      <c r="X186" t="inlineStr">
        <is>
          <t>1990-05-02</t>
        </is>
      </c>
      <c r="Y186" t="n">
        <v>640</v>
      </c>
      <c r="Z186" t="n">
        <v>574</v>
      </c>
      <c r="AA186" t="n">
        <v>600</v>
      </c>
      <c r="AB186" t="n">
        <v>6</v>
      </c>
      <c r="AC186" t="n">
        <v>6</v>
      </c>
      <c r="AD186" t="n">
        <v>27</v>
      </c>
      <c r="AE186" t="n">
        <v>28</v>
      </c>
      <c r="AF186" t="n">
        <v>11</v>
      </c>
      <c r="AG186" t="n">
        <v>12</v>
      </c>
      <c r="AH186" t="n">
        <v>6</v>
      </c>
      <c r="AI186" t="n">
        <v>6</v>
      </c>
      <c r="AJ186" t="n">
        <v>9</v>
      </c>
      <c r="AK186" t="n">
        <v>9</v>
      </c>
      <c r="AL186" t="n">
        <v>5</v>
      </c>
      <c r="AM186" t="n">
        <v>5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HYPERLINK("http://catalog.hathitrust.org/Record/000927964","HathiTrust Record")</f>
        <v/>
      </c>
      <c r="AS186">
        <f>HYPERLINK("https://creighton-primo.hosted.exlibrisgroup.com/primo-explore/search?tab=default_tab&amp;search_scope=EVERYTHING&amp;vid=01CRU&amp;lang=en_US&amp;offset=0&amp;query=any,contains,991001162939702656","Catalog Record")</f>
        <v/>
      </c>
      <c r="AT186">
        <f>HYPERLINK("http://www.worldcat.org/oclc/16901344","WorldCat Record")</f>
        <v/>
      </c>
      <c r="AU186" t="inlineStr">
        <is>
          <t>375203040:eng</t>
        </is>
      </c>
      <c r="AV186" t="inlineStr">
        <is>
          <t>16901344</t>
        </is>
      </c>
      <c r="AW186" t="inlineStr">
        <is>
          <t>991001162939702656</t>
        </is>
      </c>
      <c r="AX186" t="inlineStr">
        <is>
          <t>991001162939702656</t>
        </is>
      </c>
      <c r="AY186" t="inlineStr">
        <is>
          <t>2268453830002656</t>
        </is>
      </c>
      <c r="AZ186" t="inlineStr">
        <is>
          <t>BOOK</t>
        </is>
      </c>
      <c r="BB186" t="inlineStr">
        <is>
          <t>9780871011558</t>
        </is>
      </c>
      <c r="BC186" t="inlineStr">
        <is>
          <t>32285005079735</t>
        </is>
      </c>
      <c r="BD186" t="inlineStr">
        <is>
          <t>893321687</t>
        </is>
      </c>
    </row>
    <row r="187">
      <c r="A187" t="inlineStr">
        <is>
          <t>No</t>
        </is>
      </c>
      <c r="B187" t="inlineStr">
        <is>
          <t>HV3176 .H37 2007</t>
        </is>
      </c>
      <c r="C187" t="inlineStr">
        <is>
          <t>0                      HV 3176000H  37          2007</t>
        </is>
      </c>
      <c r="D187" t="inlineStr">
        <is>
          <t>Cross-cultural social work practice : purpose and meaning / Karen V. Harper-Dorton, Jim Lantz.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Harper-Dorton, Karen V., 1942-</t>
        </is>
      </c>
      <c r="L187" t="inlineStr">
        <is>
          <t>Chicago, IL : Lyceum Books, 2007.</t>
        </is>
      </c>
      <c r="M187" t="inlineStr">
        <is>
          <t>2007</t>
        </is>
      </c>
      <c r="N187" t="inlineStr">
        <is>
          <t>2nd ed.</t>
        </is>
      </c>
      <c r="O187" t="inlineStr">
        <is>
          <t>eng</t>
        </is>
      </c>
      <c r="P187" t="inlineStr">
        <is>
          <t>ilu</t>
        </is>
      </c>
      <c r="R187" t="inlineStr">
        <is>
          <t xml:space="preserve">HV </t>
        </is>
      </c>
      <c r="S187" t="n">
        <v>1</v>
      </c>
      <c r="T187" t="n">
        <v>1</v>
      </c>
      <c r="U187" t="inlineStr">
        <is>
          <t>2008-01-21</t>
        </is>
      </c>
      <c r="V187" t="inlineStr">
        <is>
          <t>2008-01-21</t>
        </is>
      </c>
      <c r="W187" t="inlineStr">
        <is>
          <t>2008-01-21</t>
        </is>
      </c>
      <c r="X187" t="inlineStr">
        <is>
          <t>2008-01-21</t>
        </is>
      </c>
      <c r="Y187" t="n">
        <v>164</v>
      </c>
      <c r="Z187" t="n">
        <v>140</v>
      </c>
      <c r="AA187" t="n">
        <v>146</v>
      </c>
      <c r="AB187" t="n">
        <v>2</v>
      </c>
      <c r="AC187" t="n">
        <v>2</v>
      </c>
      <c r="AD187" t="n">
        <v>6</v>
      </c>
      <c r="AE187" t="n">
        <v>7</v>
      </c>
      <c r="AF187" t="n">
        <v>1</v>
      </c>
      <c r="AG187" t="n">
        <v>2</v>
      </c>
      <c r="AH187" t="n">
        <v>1</v>
      </c>
      <c r="AI187" t="n">
        <v>2</v>
      </c>
      <c r="AJ187" t="n">
        <v>3</v>
      </c>
      <c r="AK187" t="n">
        <v>3</v>
      </c>
      <c r="AL187" t="n">
        <v>1</v>
      </c>
      <c r="AM187" t="n">
        <v>1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HYPERLINK("http://catalog.hathitrust.org/Record/005563522","HathiTrust Record")</f>
        <v/>
      </c>
      <c r="AS187">
        <f>HYPERLINK("https://creighton-primo.hosted.exlibrisgroup.com/primo-explore/search?tab=default_tab&amp;search_scope=EVERYTHING&amp;vid=01CRU&amp;lang=en_US&amp;offset=0&amp;query=any,contains,991005167299702656","Catalog Record")</f>
        <v/>
      </c>
      <c r="AT187">
        <f>HYPERLINK("http://www.worldcat.org/oclc/70175006","WorldCat Record")</f>
        <v/>
      </c>
      <c r="AU187" t="inlineStr">
        <is>
          <t>2866151420:eng</t>
        </is>
      </c>
      <c r="AV187" t="inlineStr">
        <is>
          <t>70175006</t>
        </is>
      </c>
      <c r="AW187" t="inlineStr">
        <is>
          <t>991005167299702656</t>
        </is>
      </c>
      <c r="AX187" t="inlineStr">
        <is>
          <t>991005167299702656</t>
        </is>
      </c>
      <c r="AY187" t="inlineStr">
        <is>
          <t>2271851480002656</t>
        </is>
      </c>
      <c r="AZ187" t="inlineStr">
        <is>
          <t>BOOK</t>
        </is>
      </c>
      <c r="BB187" t="inlineStr">
        <is>
          <t>9780925065766</t>
        </is>
      </c>
      <c r="BC187" t="inlineStr">
        <is>
          <t>32285005379192</t>
        </is>
      </c>
      <c r="BD187" t="inlineStr">
        <is>
          <t>893412430</t>
        </is>
      </c>
    </row>
    <row r="188">
      <c r="A188" t="inlineStr">
        <is>
          <t>No</t>
        </is>
      </c>
      <c r="B188" t="inlineStr">
        <is>
          <t>HV3176 .H85</t>
        </is>
      </c>
      <c r="C188" t="inlineStr">
        <is>
          <t>0                      HV 3176000H  85</t>
        </is>
      </c>
      <c r="D188" t="inlineStr">
        <is>
          <t>Human services for cultural minorities / edited by Richard H. Dana.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L188" t="inlineStr">
        <is>
          <t>Baltimore : University Park Press, c1981.</t>
        </is>
      </c>
      <c r="M188" t="inlineStr">
        <is>
          <t>1981</t>
        </is>
      </c>
      <c r="O188" t="inlineStr">
        <is>
          <t>eng</t>
        </is>
      </c>
      <c r="P188" t="inlineStr">
        <is>
          <t>mdu</t>
        </is>
      </c>
      <c r="R188" t="inlineStr">
        <is>
          <t xml:space="preserve">HV </t>
        </is>
      </c>
      <c r="S188" t="n">
        <v>11</v>
      </c>
      <c r="T188" t="n">
        <v>11</v>
      </c>
      <c r="U188" t="inlineStr">
        <is>
          <t>1995-03-03</t>
        </is>
      </c>
      <c r="V188" t="inlineStr">
        <is>
          <t>1995-03-03</t>
        </is>
      </c>
      <c r="W188" t="inlineStr">
        <is>
          <t>1992-05-04</t>
        </is>
      </c>
      <c r="X188" t="inlineStr">
        <is>
          <t>1992-05-04</t>
        </is>
      </c>
      <c r="Y188" t="n">
        <v>479</v>
      </c>
      <c r="Z188" t="n">
        <v>442</v>
      </c>
      <c r="AA188" t="n">
        <v>444</v>
      </c>
      <c r="AB188" t="n">
        <v>7</v>
      </c>
      <c r="AC188" t="n">
        <v>7</v>
      </c>
      <c r="AD188" t="n">
        <v>26</v>
      </c>
      <c r="AE188" t="n">
        <v>26</v>
      </c>
      <c r="AF188" t="n">
        <v>11</v>
      </c>
      <c r="AG188" t="n">
        <v>11</v>
      </c>
      <c r="AH188" t="n">
        <v>3</v>
      </c>
      <c r="AI188" t="n">
        <v>3</v>
      </c>
      <c r="AJ188" t="n">
        <v>10</v>
      </c>
      <c r="AK188" t="n">
        <v>10</v>
      </c>
      <c r="AL188" t="n">
        <v>6</v>
      </c>
      <c r="AM188" t="n">
        <v>6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HYPERLINK("http://catalog.hathitrust.org/Record/000268089","HathiTrust Record")</f>
        <v/>
      </c>
      <c r="AS188">
        <f>HYPERLINK("https://creighton-primo.hosted.exlibrisgroup.com/primo-explore/search?tab=default_tab&amp;search_scope=EVERYTHING&amp;vid=01CRU&amp;lang=en_US&amp;offset=0&amp;query=any,contains,991005168199702656","Catalog Record")</f>
        <v/>
      </c>
      <c r="AT188">
        <f>HYPERLINK("http://www.worldcat.org/oclc/7837313","WorldCat Record")</f>
        <v/>
      </c>
      <c r="AU188" t="inlineStr">
        <is>
          <t>29772992:eng</t>
        </is>
      </c>
      <c r="AV188" t="inlineStr">
        <is>
          <t>7837313</t>
        </is>
      </c>
      <c r="AW188" t="inlineStr">
        <is>
          <t>991005168199702656</t>
        </is>
      </c>
      <c r="AX188" t="inlineStr">
        <is>
          <t>991005168199702656</t>
        </is>
      </c>
      <c r="AY188" t="inlineStr">
        <is>
          <t>2256984900002656</t>
        </is>
      </c>
      <c r="AZ188" t="inlineStr">
        <is>
          <t>BOOK</t>
        </is>
      </c>
      <c r="BB188" t="inlineStr">
        <is>
          <t>9780839116875</t>
        </is>
      </c>
      <c r="BC188" t="inlineStr">
        <is>
          <t>32285001092898</t>
        </is>
      </c>
      <c r="BD188" t="inlineStr">
        <is>
          <t>893507718</t>
        </is>
      </c>
    </row>
    <row r="189">
      <c r="A189" t="inlineStr">
        <is>
          <t>No</t>
        </is>
      </c>
      <c r="B189" t="inlineStr">
        <is>
          <t>HV3176 .S35</t>
        </is>
      </c>
      <c r="C189" t="inlineStr">
        <is>
          <t>0                      HV 3176000S  35</t>
        </is>
      </c>
      <c r="D189" t="inlineStr">
        <is>
          <t>Social work practice with minorities / [edited by] David R. Burgest.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L189" t="inlineStr">
        <is>
          <t>Metuchen, N.J. : Scarecrow Press, 1982.</t>
        </is>
      </c>
      <c r="M189" t="inlineStr">
        <is>
          <t>1982</t>
        </is>
      </c>
      <c r="O189" t="inlineStr">
        <is>
          <t>eng</t>
        </is>
      </c>
      <c r="P189" t="inlineStr">
        <is>
          <t>nju</t>
        </is>
      </c>
      <c r="R189" t="inlineStr">
        <is>
          <t xml:space="preserve">HV </t>
        </is>
      </c>
      <c r="S189" t="n">
        <v>5</v>
      </c>
      <c r="T189" t="n">
        <v>5</v>
      </c>
      <c r="U189" t="inlineStr">
        <is>
          <t>1994-11-30</t>
        </is>
      </c>
      <c r="V189" t="inlineStr">
        <is>
          <t>1994-11-30</t>
        </is>
      </c>
      <c r="W189" t="inlineStr">
        <is>
          <t>1992-05-04</t>
        </is>
      </c>
      <c r="X189" t="inlineStr">
        <is>
          <t>1992-05-04</t>
        </is>
      </c>
      <c r="Y189" t="n">
        <v>260</v>
      </c>
      <c r="Z189" t="n">
        <v>217</v>
      </c>
      <c r="AA189" t="n">
        <v>387</v>
      </c>
      <c r="AB189" t="n">
        <v>2</v>
      </c>
      <c r="AC189" t="n">
        <v>4</v>
      </c>
      <c r="AD189" t="n">
        <v>8</v>
      </c>
      <c r="AE189" t="n">
        <v>18</v>
      </c>
      <c r="AF189" t="n">
        <v>4</v>
      </c>
      <c r="AG189" t="n">
        <v>7</v>
      </c>
      <c r="AH189" t="n">
        <v>2</v>
      </c>
      <c r="AI189" t="n">
        <v>5</v>
      </c>
      <c r="AJ189" t="n">
        <v>2</v>
      </c>
      <c r="AK189" t="n">
        <v>6</v>
      </c>
      <c r="AL189" t="n">
        <v>1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HYPERLINK("http://catalog.hathitrust.org/Record/003865990","HathiTrust Record")</f>
        <v/>
      </c>
      <c r="AS189">
        <f>HYPERLINK("https://creighton-primo.hosted.exlibrisgroup.com/primo-explore/search?tab=default_tab&amp;search_scope=EVERYTHING&amp;vid=01CRU&amp;lang=en_US&amp;offset=0&amp;query=any,contains,991005162219702656","Catalog Record")</f>
        <v/>
      </c>
      <c r="AT189">
        <f>HYPERLINK("http://www.worldcat.org/oclc/7796016","WorldCat Record")</f>
        <v/>
      </c>
      <c r="AU189" t="inlineStr">
        <is>
          <t>54458363:eng</t>
        </is>
      </c>
      <c r="AV189" t="inlineStr">
        <is>
          <t>7796016</t>
        </is>
      </c>
      <c r="AW189" t="inlineStr">
        <is>
          <t>991005162219702656</t>
        </is>
      </c>
      <c r="AX189" t="inlineStr">
        <is>
          <t>991005162219702656</t>
        </is>
      </c>
      <c r="AY189" t="inlineStr">
        <is>
          <t>2266356680002656</t>
        </is>
      </c>
      <c r="AZ189" t="inlineStr">
        <is>
          <t>BOOK</t>
        </is>
      </c>
      <c r="BB189" t="inlineStr">
        <is>
          <t>9780810814769</t>
        </is>
      </c>
      <c r="BC189" t="inlineStr">
        <is>
          <t>32285001092872</t>
        </is>
      </c>
      <c r="BD189" t="inlineStr">
        <is>
          <t>893443509</t>
        </is>
      </c>
    </row>
    <row r="190">
      <c r="A190" t="inlineStr">
        <is>
          <t>No</t>
        </is>
      </c>
      <c r="B190" t="inlineStr">
        <is>
          <t>HV3177.G7 C73 2008</t>
        </is>
      </c>
      <c r="C190" t="inlineStr">
        <is>
          <t>0                      HV 3177000G  7                  C  73          2008</t>
        </is>
      </c>
      <c r="D190" t="inlineStr">
        <is>
          <t>Islam and social work : debating values, transforming practice / Sara Ashencaen Crabtree, Fatima Husain and Basia Spalek.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Ashencaen Crabtree, Sara.</t>
        </is>
      </c>
      <c r="L190" t="inlineStr">
        <is>
          <t>Bristol : Policy, c2008.</t>
        </is>
      </c>
      <c r="M190" t="inlineStr">
        <is>
          <t>2008</t>
        </is>
      </c>
      <c r="O190" t="inlineStr">
        <is>
          <t>eng</t>
        </is>
      </c>
      <c r="P190" t="inlineStr">
        <is>
          <t>enk</t>
        </is>
      </c>
      <c r="R190" t="inlineStr">
        <is>
          <t xml:space="preserve">HV </t>
        </is>
      </c>
      <c r="S190" t="n">
        <v>1</v>
      </c>
      <c r="T190" t="n">
        <v>1</v>
      </c>
      <c r="U190" t="inlineStr">
        <is>
          <t>2009-02-23</t>
        </is>
      </c>
      <c r="V190" t="inlineStr">
        <is>
          <t>2009-02-23</t>
        </is>
      </c>
      <c r="W190" t="inlineStr">
        <is>
          <t>2009-02-23</t>
        </is>
      </c>
      <c r="X190" t="inlineStr">
        <is>
          <t>2009-02-23</t>
        </is>
      </c>
      <c r="Y190" t="n">
        <v>380</v>
      </c>
      <c r="Z190" t="n">
        <v>277</v>
      </c>
      <c r="AA190" t="n">
        <v>280</v>
      </c>
      <c r="AB190" t="n">
        <v>2</v>
      </c>
      <c r="AC190" t="n">
        <v>2</v>
      </c>
      <c r="AD190" t="n">
        <v>14</v>
      </c>
      <c r="AE190" t="n">
        <v>14</v>
      </c>
      <c r="AF190" t="n">
        <v>4</v>
      </c>
      <c r="AG190" t="n">
        <v>4</v>
      </c>
      <c r="AH190" t="n">
        <v>2</v>
      </c>
      <c r="AI190" t="n">
        <v>2</v>
      </c>
      <c r="AJ190" t="n">
        <v>10</v>
      </c>
      <c r="AK190" t="n">
        <v>10</v>
      </c>
      <c r="AL190" t="n">
        <v>1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HYPERLINK("https://creighton-primo.hosted.exlibrisgroup.com/primo-explore/search?tab=default_tab&amp;search_scope=EVERYTHING&amp;vid=01CRU&amp;lang=en_US&amp;offset=0&amp;query=any,contains,991005293559702656","Catalog Record")</f>
        <v/>
      </c>
      <c r="AT190">
        <f>HYPERLINK("http://www.worldcat.org/oclc/176925626","WorldCat Record")</f>
        <v/>
      </c>
      <c r="AU190" t="inlineStr">
        <is>
          <t>896777069:eng</t>
        </is>
      </c>
      <c r="AV190" t="inlineStr">
        <is>
          <t>176925626</t>
        </is>
      </c>
      <c r="AW190" t="inlineStr">
        <is>
          <t>991005293559702656</t>
        </is>
      </c>
      <c r="AX190" t="inlineStr">
        <is>
          <t>991005293559702656</t>
        </is>
      </c>
      <c r="AY190" t="inlineStr">
        <is>
          <t>2261525640002656</t>
        </is>
      </c>
      <c r="AZ190" t="inlineStr">
        <is>
          <t>BOOK</t>
        </is>
      </c>
      <c r="BB190" t="inlineStr">
        <is>
          <t>9781861349477</t>
        </is>
      </c>
      <c r="BC190" t="inlineStr">
        <is>
          <t>32285005505556</t>
        </is>
      </c>
      <c r="BD190" t="inlineStr">
        <is>
          <t>893507924</t>
        </is>
      </c>
    </row>
    <row r="191">
      <c r="A191" t="inlineStr">
        <is>
          <t>No</t>
        </is>
      </c>
      <c r="B191" t="inlineStr">
        <is>
          <t>HV3181 .B54 1996</t>
        </is>
      </c>
      <c r="C191" t="inlineStr">
        <is>
          <t>0                      HV 3181000B  54          1996</t>
        </is>
      </c>
      <c r="D191" t="inlineStr">
        <is>
          <t>The Black family : strengths, self-help, and positive change / edited by Sadye L. Logan.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Boulder, Colo. : Westview Press, 1996.</t>
        </is>
      </c>
      <c r="M191" t="inlineStr">
        <is>
          <t>1996</t>
        </is>
      </c>
      <c r="O191" t="inlineStr">
        <is>
          <t>eng</t>
        </is>
      </c>
      <c r="P191" t="inlineStr">
        <is>
          <t>cou</t>
        </is>
      </c>
      <c r="R191" t="inlineStr">
        <is>
          <t xml:space="preserve">HV </t>
        </is>
      </c>
      <c r="S191" t="n">
        <v>5</v>
      </c>
      <c r="T191" t="n">
        <v>5</v>
      </c>
      <c r="U191" t="inlineStr">
        <is>
          <t>2002-09-05</t>
        </is>
      </c>
      <c r="V191" t="inlineStr">
        <is>
          <t>2002-09-05</t>
        </is>
      </c>
      <c r="W191" t="inlineStr">
        <is>
          <t>1996-10-28</t>
        </is>
      </c>
      <c r="X191" t="inlineStr">
        <is>
          <t>1996-10-28</t>
        </is>
      </c>
      <c r="Y191" t="n">
        <v>312</v>
      </c>
      <c r="Z191" t="n">
        <v>289</v>
      </c>
      <c r="AA191" t="n">
        <v>497</v>
      </c>
      <c r="AB191" t="n">
        <v>1</v>
      </c>
      <c r="AC191" t="n">
        <v>3</v>
      </c>
      <c r="AD191" t="n">
        <v>12</v>
      </c>
      <c r="AE191" t="n">
        <v>21</v>
      </c>
      <c r="AF191" t="n">
        <v>3</v>
      </c>
      <c r="AG191" t="n">
        <v>8</v>
      </c>
      <c r="AH191" t="n">
        <v>5</v>
      </c>
      <c r="AI191" t="n">
        <v>6</v>
      </c>
      <c r="AJ191" t="n">
        <v>9</v>
      </c>
      <c r="AK191" t="n">
        <v>13</v>
      </c>
      <c r="AL191" t="n">
        <v>0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HYPERLINK("http://catalog.hathitrust.org/Record/003071609","HathiTrust Record")</f>
        <v/>
      </c>
      <c r="AS191">
        <f>HYPERLINK("https://creighton-primo.hosted.exlibrisgroup.com/primo-explore/search?tab=default_tab&amp;search_scope=EVERYTHING&amp;vid=01CRU&amp;lang=en_US&amp;offset=0&amp;query=any,contains,991002615349702656","Catalog Record")</f>
        <v/>
      </c>
      <c r="AT191">
        <f>HYPERLINK("http://www.worldcat.org/oclc/34283280","WorldCat Record")</f>
        <v/>
      </c>
      <c r="AU191" t="inlineStr">
        <is>
          <t>802793234:eng</t>
        </is>
      </c>
      <c r="AV191" t="inlineStr">
        <is>
          <t>34283280</t>
        </is>
      </c>
      <c r="AW191" t="inlineStr">
        <is>
          <t>991002615349702656</t>
        </is>
      </c>
      <c r="AX191" t="inlineStr">
        <is>
          <t>991002615349702656</t>
        </is>
      </c>
      <c r="AY191" t="inlineStr">
        <is>
          <t>2257485620002656</t>
        </is>
      </c>
      <c r="AZ191" t="inlineStr">
        <is>
          <t>BOOK</t>
        </is>
      </c>
      <c r="BB191" t="inlineStr">
        <is>
          <t>9780813325767</t>
        </is>
      </c>
      <c r="BC191" t="inlineStr">
        <is>
          <t>32285002369758</t>
        </is>
      </c>
      <c r="BD191" t="inlineStr">
        <is>
          <t>893685557</t>
        </is>
      </c>
    </row>
    <row r="192">
      <c r="A192" t="inlineStr">
        <is>
          <t>No</t>
        </is>
      </c>
      <c r="B192" t="inlineStr">
        <is>
          <t>HV3181 .M372 2002</t>
        </is>
      </c>
      <c r="C192" t="inlineStr">
        <is>
          <t>0                      HV 3181000M  372         2002</t>
        </is>
      </c>
      <c r="D192" t="inlineStr">
        <is>
          <t>Spirituality and the Black helping tradition in social work / Elmer P. Martin and Joanne M. Martin.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Martin, Elmer P.</t>
        </is>
      </c>
      <c r="L192" t="inlineStr">
        <is>
          <t>Washington, DC : National Association of Social Workers, c2002.</t>
        </is>
      </c>
      <c r="M192" t="inlineStr">
        <is>
          <t>2002</t>
        </is>
      </c>
      <c r="O192" t="inlineStr">
        <is>
          <t>eng</t>
        </is>
      </c>
      <c r="P192" t="inlineStr">
        <is>
          <t>dcu</t>
        </is>
      </c>
      <c r="R192" t="inlineStr">
        <is>
          <t xml:space="preserve">HV </t>
        </is>
      </c>
      <c r="S192" t="n">
        <v>1</v>
      </c>
      <c r="T192" t="n">
        <v>1</v>
      </c>
      <c r="U192" t="inlineStr">
        <is>
          <t>2003-04-14</t>
        </is>
      </c>
      <c r="V192" t="inlineStr">
        <is>
          <t>2003-04-14</t>
        </is>
      </c>
      <c r="W192" t="inlineStr">
        <is>
          <t>2003-04-14</t>
        </is>
      </c>
      <c r="X192" t="inlineStr">
        <is>
          <t>2003-04-14</t>
        </is>
      </c>
      <c r="Y192" t="n">
        <v>467</v>
      </c>
      <c r="Z192" t="n">
        <v>449</v>
      </c>
      <c r="AA192" t="n">
        <v>474</v>
      </c>
      <c r="AB192" t="n">
        <v>6</v>
      </c>
      <c r="AC192" t="n">
        <v>6</v>
      </c>
      <c r="AD192" t="n">
        <v>27</v>
      </c>
      <c r="AE192" t="n">
        <v>28</v>
      </c>
      <c r="AF192" t="n">
        <v>10</v>
      </c>
      <c r="AG192" t="n">
        <v>11</v>
      </c>
      <c r="AH192" t="n">
        <v>7</v>
      </c>
      <c r="AI192" t="n">
        <v>7</v>
      </c>
      <c r="AJ192" t="n">
        <v>10</v>
      </c>
      <c r="AK192" t="n">
        <v>11</v>
      </c>
      <c r="AL192" t="n">
        <v>5</v>
      </c>
      <c r="AM192" t="n">
        <v>5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HYPERLINK("http://catalog.hathitrust.org/Record/003839163","HathiTrust Record")</f>
        <v/>
      </c>
      <c r="AS192">
        <f>HYPERLINK("https://creighton-primo.hosted.exlibrisgroup.com/primo-explore/search?tab=default_tab&amp;search_scope=EVERYTHING&amp;vid=01CRU&amp;lang=en_US&amp;offset=0&amp;query=any,contains,991004008379702656","Catalog Record")</f>
        <v/>
      </c>
      <c r="AT192">
        <f>HYPERLINK("http://www.worldcat.org/oclc/49525783","WorldCat Record")</f>
        <v/>
      </c>
      <c r="AU192" t="inlineStr">
        <is>
          <t>969552:eng</t>
        </is>
      </c>
      <c r="AV192" t="inlineStr">
        <is>
          <t>49525783</t>
        </is>
      </c>
      <c r="AW192" t="inlineStr">
        <is>
          <t>991004008379702656</t>
        </is>
      </c>
      <c r="AX192" t="inlineStr">
        <is>
          <t>991004008379702656</t>
        </is>
      </c>
      <c r="AY192" t="inlineStr">
        <is>
          <t>2272052500002656</t>
        </is>
      </c>
      <c r="AZ192" t="inlineStr">
        <is>
          <t>BOOK</t>
        </is>
      </c>
      <c r="BB192" t="inlineStr">
        <is>
          <t>9780871013224</t>
        </is>
      </c>
      <c r="BC192" t="inlineStr">
        <is>
          <t>32285004742374</t>
        </is>
      </c>
      <c r="BD192" t="inlineStr">
        <is>
          <t>893423265</t>
        </is>
      </c>
    </row>
    <row r="193">
      <c r="A193" t="inlineStr">
        <is>
          <t>No</t>
        </is>
      </c>
      <c r="B193" t="inlineStr">
        <is>
          <t>HV3181 .S613 2008</t>
        </is>
      </c>
      <c r="C193" t="inlineStr">
        <is>
          <t>0                      HV 3181000S  613         2008</t>
        </is>
      </c>
      <c r="D193" t="inlineStr">
        <is>
          <t>Social work practice with African-American families : an intergenerational perspective / Cheryl Waites, editor.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L193" t="inlineStr">
        <is>
          <t>New York : Routledge, 2008.</t>
        </is>
      </c>
      <c r="M193" t="inlineStr">
        <is>
          <t>2008</t>
        </is>
      </c>
      <c r="O193" t="inlineStr">
        <is>
          <t>eng</t>
        </is>
      </c>
      <c r="P193" t="inlineStr">
        <is>
          <t>nyu</t>
        </is>
      </c>
      <c r="Q193" t="inlineStr">
        <is>
          <t>Social work practice in action</t>
        </is>
      </c>
      <c r="R193" t="inlineStr">
        <is>
          <t xml:space="preserve">HV </t>
        </is>
      </c>
      <c r="S193" t="n">
        <v>1</v>
      </c>
      <c r="T193" t="n">
        <v>1</v>
      </c>
      <c r="U193" t="inlineStr">
        <is>
          <t>2008-08-27</t>
        </is>
      </c>
      <c r="V193" t="inlineStr">
        <is>
          <t>2008-08-27</t>
        </is>
      </c>
      <c r="W193" t="inlineStr">
        <is>
          <t>2008-08-27</t>
        </is>
      </c>
      <c r="X193" t="inlineStr">
        <is>
          <t>2008-08-27</t>
        </is>
      </c>
      <c r="Y193" t="n">
        <v>358</v>
      </c>
      <c r="Z193" t="n">
        <v>334</v>
      </c>
      <c r="AA193" t="n">
        <v>554</v>
      </c>
      <c r="AB193" t="n">
        <v>4</v>
      </c>
      <c r="AC193" t="n">
        <v>6</v>
      </c>
      <c r="AD193" t="n">
        <v>18</v>
      </c>
      <c r="AE193" t="n">
        <v>27</v>
      </c>
      <c r="AF193" t="n">
        <v>8</v>
      </c>
      <c r="AG193" t="n">
        <v>13</v>
      </c>
      <c r="AH193" t="n">
        <v>2</v>
      </c>
      <c r="AI193" t="n">
        <v>3</v>
      </c>
      <c r="AJ193" t="n">
        <v>9</v>
      </c>
      <c r="AK193" t="n">
        <v>11</v>
      </c>
      <c r="AL193" t="n">
        <v>3</v>
      </c>
      <c r="AM193" t="n">
        <v>5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HYPERLINK("http://catalog.hathitrust.org/Record/005806039","HathiTrust Record")</f>
        <v/>
      </c>
      <c r="AS193">
        <f>HYPERLINK("https://creighton-primo.hosted.exlibrisgroup.com/primo-explore/search?tab=default_tab&amp;search_scope=EVERYTHING&amp;vid=01CRU&amp;lang=en_US&amp;offset=0&amp;query=any,contains,991005255699702656","Catalog Record")</f>
        <v/>
      </c>
      <c r="AT193">
        <f>HYPERLINK("http://www.worldcat.org/oclc/173659548","WorldCat Record")</f>
        <v/>
      </c>
      <c r="AU193" t="inlineStr">
        <is>
          <t>888666357:eng</t>
        </is>
      </c>
      <c r="AV193" t="inlineStr">
        <is>
          <t>173659548</t>
        </is>
      </c>
      <c r="AW193" t="inlineStr">
        <is>
          <t>991005255699702656</t>
        </is>
      </c>
      <c r="AX193" t="inlineStr">
        <is>
          <t>991005255699702656</t>
        </is>
      </c>
      <c r="AY193" t="inlineStr">
        <is>
          <t>2266089440002656</t>
        </is>
      </c>
      <c r="AZ193" t="inlineStr">
        <is>
          <t>BOOK</t>
        </is>
      </c>
      <c r="BB193" t="inlineStr">
        <is>
          <t>9780789033918</t>
        </is>
      </c>
      <c r="BC193" t="inlineStr">
        <is>
          <t>32285005456180</t>
        </is>
      </c>
      <c r="BD193" t="inlineStr">
        <is>
          <t>893877210</t>
        </is>
      </c>
    </row>
    <row r="194">
      <c r="A194" t="inlineStr">
        <is>
          <t>No</t>
        </is>
      </c>
      <c r="B194" t="inlineStr">
        <is>
          <t>HV3181 .S62 1990</t>
        </is>
      </c>
      <c r="C194" t="inlineStr">
        <is>
          <t>0                      HV 3181000S  62          1990</t>
        </is>
      </c>
      <c r="D194" t="inlineStr">
        <is>
          <t>Social work practice with Black families : a culturally specific perspective / [edited by] Sadye M.L. Logan, Edith M. Freeman, Ruth G. McRoy.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New York : Longman, c1990.</t>
        </is>
      </c>
      <c r="M194" t="inlineStr">
        <is>
          <t>1990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HV </t>
        </is>
      </c>
      <c r="S194" t="n">
        <v>10</v>
      </c>
      <c r="T194" t="n">
        <v>10</v>
      </c>
      <c r="U194" t="inlineStr">
        <is>
          <t>2001-10-18</t>
        </is>
      </c>
      <c r="V194" t="inlineStr">
        <is>
          <t>2001-10-18</t>
        </is>
      </c>
      <c r="W194" t="inlineStr">
        <is>
          <t>1990-04-12</t>
        </is>
      </c>
      <c r="X194" t="inlineStr">
        <is>
          <t>1990-04-12</t>
        </is>
      </c>
      <c r="Y194" t="n">
        <v>452</v>
      </c>
      <c r="Z194" t="n">
        <v>419</v>
      </c>
      <c r="AA194" t="n">
        <v>428</v>
      </c>
      <c r="AB194" t="n">
        <v>4</v>
      </c>
      <c r="AC194" t="n">
        <v>4</v>
      </c>
      <c r="AD194" t="n">
        <v>21</v>
      </c>
      <c r="AE194" t="n">
        <v>21</v>
      </c>
      <c r="AF194" t="n">
        <v>6</v>
      </c>
      <c r="AG194" t="n">
        <v>6</v>
      </c>
      <c r="AH194" t="n">
        <v>7</v>
      </c>
      <c r="AI194" t="n">
        <v>7</v>
      </c>
      <c r="AJ194" t="n">
        <v>10</v>
      </c>
      <c r="AK194" t="n">
        <v>10</v>
      </c>
      <c r="AL194" t="n">
        <v>3</v>
      </c>
      <c r="AM194" t="n">
        <v>3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HYPERLINK("http://catalog.hathitrust.org/Record/001550132","HathiTrust Record")</f>
        <v/>
      </c>
      <c r="AS194">
        <f>HYPERLINK("https://creighton-primo.hosted.exlibrisgroup.com/primo-explore/search?tab=default_tab&amp;search_scope=EVERYTHING&amp;vid=01CRU&amp;lang=en_US&amp;offset=0&amp;query=any,contains,991001412849702656","Catalog Record")</f>
        <v/>
      </c>
      <c r="AT194">
        <f>HYPERLINK("http://www.worldcat.org/oclc/18909442","WorldCat Record")</f>
        <v/>
      </c>
      <c r="AU194" t="inlineStr">
        <is>
          <t>468188206:eng</t>
        </is>
      </c>
      <c r="AV194" t="inlineStr">
        <is>
          <t>18909442</t>
        </is>
      </c>
      <c r="AW194" t="inlineStr">
        <is>
          <t>991001412849702656</t>
        </is>
      </c>
      <c r="AX194" t="inlineStr">
        <is>
          <t>991001412849702656</t>
        </is>
      </c>
      <c r="AY194" t="inlineStr">
        <is>
          <t>2256425060002656</t>
        </is>
      </c>
      <c r="AZ194" t="inlineStr">
        <is>
          <t>BOOK</t>
        </is>
      </c>
      <c r="BB194" t="inlineStr">
        <is>
          <t>9780801300127</t>
        </is>
      </c>
      <c r="BC194" t="inlineStr">
        <is>
          <t>32285000100742</t>
        </is>
      </c>
      <c r="BD194" t="inlineStr">
        <is>
          <t>893885290</t>
        </is>
      </c>
    </row>
    <row r="195">
      <c r="A195" t="inlineStr">
        <is>
          <t>No</t>
        </is>
      </c>
      <c r="B195" t="inlineStr">
        <is>
          <t>HV3199.B52 G72 2007</t>
        </is>
      </c>
      <c r="C195" t="inlineStr">
        <is>
          <t>0                      HV 3199000B  52                 G  72          2007</t>
        </is>
      </c>
      <c r="D195" t="inlineStr">
        <is>
          <t>Black issues in social work and social care / Mekada Graham.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Graham, Mekada.</t>
        </is>
      </c>
      <c r="L195" t="inlineStr">
        <is>
          <t>Bristol : Policy, 2007.</t>
        </is>
      </c>
      <c r="M195" t="inlineStr">
        <is>
          <t>2007</t>
        </is>
      </c>
      <c r="O195" t="inlineStr">
        <is>
          <t>eng</t>
        </is>
      </c>
      <c r="P195" t="inlineStr">
        <is>
          <t>enk</t>
        </is>
      </c>
      <c r="R195" t="inlineStr">
        <is>
          <t xml:space="preserve">HV </t>
        </is>
      </c>
      <c r="S195" t="n">
        <v>1</v>
      </c>
      <c r="T195" t="n">
        <v>1</v>
      </c>
      <c r="U195" t="inlineStr">
        <is>
          <t>2010-02-16</t>
        </is>
      </c>
      <c r="V195" t="inlineStr">
        <is>
          <t>2010-02-16</t>
        </is>
      </c>
      <c r="W195" t="inlineStr">
        <is>
          <t>2010-02-16</t>
        </is>
      </c>
      <c r="X195" t="inlineStr">
        <is>
          <t>2010-02-16</t>
        </is>
      </c>
      <c r="Y195" t="n">
        <v>225</v>
      </c>
      <c r="Z195" t="n">
        <v>156</v>
      </c>
      <c r="AA195" t="n">
        <v>172</v>
      </c>
      <c r="AB195" t="n">
        <v>1</v>
      </c>
      <c r="AC195" t="n">
        <v>1</v>
      </c>
      <c r="AD195" t="n">
        <v>6</v>
      </c>
      <c r="AE195" t="n">
        <v>6</v>
      </c>
      <c r="AF195" t="n">
        <v>2</v>
      </c>
      <c r="AG195" t="n">
        <v>2</v>
      </c>
      <c r="AH195" t="n">
        <v>1</v>
      </c>
      <c r="AI195" t="n">
        <v>1</v>
      </c>
      <c r="AJ195" t="n">
        <v>5</v>
      </c>
      <c r="AK195" t="n">
        <v>5</v>
      </c>
      <c r="AL195" t="n">
        <v>0</v>
      </c>
      <c r="AM195" t="n">
        <v>0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HYPERLINK("http://catalog.hathitrust.org/Record/005587255","HathiTrust Record")</f>
        <v/>
      </c>
      <c r="AS195">
        <f>HYPERLINK("https://creighton-primo.hosted.exlibrisgroup.com/primo-explore/search?tab=default_tab&amp;search_scope=EVERYTHING&amp;vid=01CRU&amp;lang=en_US&amp;offset=0&amp;query=any,contains,991005361639702656","Catalog Record")</f>
        <v/>
      </c>
      <c r="AT195">
        <f>HYPERLINK("http://www.worldcat.org/oclc/85830177","WorldCat Record")</f>
        <v/>
      </c>
      <c r="AU195" t="inlineStr">
        <is>
          <t>69732895:eng</t>
        </is>
      </c>
      <c r="AV195" t="inlineStr">
        <is>
          <t>85830177</t>
        </is>
      </c>
      <c r="AW195" t="inlineStr">
        <is>
          <t>991005361639702656</t>
        </is>
      </c>
      <c r="AX195" t="inlineStr">
        <is>
          <t>991005361639702656</t>
        </is>
      </c>
      <c r="AY195" t="inlineStr">
        <is>
          <t>2266768040002656</t>
        </is>
      </c>
      <c r="AZ195" t="inlineStr">
        <is>
          <t>BOOK</t>
        </is>
      </c>
      <c r="BB195" t="inlineStr">
        <is>
          <t>9781861348456</t>
        </is>
      </c>
      <c r="BC195" t="inlineStr">
        <is>
          <t>32285005574172</t>
        </is>
      </c>
      <c r="BD195" t="inlineStr">
        <is>
          <t>893601057</t>
        </is>
      </c>
    </row>
    <row r="196">
      <c r="A196" t="inlineStr">
        <is>
          <t>No</t>
        </is>
      </c>
      <c r="B196" t="inlineStr">
        <is>
          <t>HV3199.B52 G79 2007</t>
        </is>
      </c>
      <c r="C196" t="inlineStr">
        <is>
          <t>0                      HV 3199000B  52                 G  79          2007</t>
        </is>
      </c>
      <c r="D196" t="inlineStr">
        <is>
          <t>Working with Black young people / edited by Momodou Sallah and Carlton Howson.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L196" t="inlineStr">
        <is>
          <t>Lyme Regis : Russell House Pub., 2007.</t>
        </is>
      </c>
      <c r="M196" t="inlineStr">
        <is>
          <t>2007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HV </t>
        </is>
      </c>
      <c r="S196" t="n">
        <v>1</v>
      </c>
      <c r="T196" t="n">
        <v>1</v>
      </c>
      <c r="U196" t="inlineStr">
        <is>
          <t>2009-02-23</t>
        </is>
      </c>
      <c r="V196" t="inlineStr">
        <is>
          <t>2009-02-23</t>
        </is>
      </c>
      <c r="W196" t="inlineStr">
        <is>
          <t>2009-02-23</t>
        </is>
      </c>
      <c r="X196" t="inlineStr">
        <is>
          <t>2009-02-23</t>
        </is>
      </c>
      <c r="Y196" t="n">
        <v>88</v>
      </c>
      <c r="Z196" t="n">
        <v>48</v>
      </c>
      <c r="AA196" t="n">
        <v>48</v>
      </c>
      <c r="AB196" t="n">
        <v>1</v>
      </c>
      <c r="AC196" t="n">
        <v>1</v>
      </c>
      <c r="AD196" t="n">
        <v>2</v>
      </c>
      <c r="AE196" t="n">
        <v>2</v>
      </c>
      <c r="AF196" t="n">
        <v>0</v>
      </c>
      <c r="AG196" t="n">
        <v>0</v>
      </c>
      <c r="AH196" t="n">
        <v>1</v>
      </c>
      <c r="AI196" t="n">
        <v>1</v>
      </c>
      <c r="AJ196" t="n">
        <v>2</v>
      </c>
      <c r="AK196" t="n">
        <v>2</v>
      </c>
      <c r="AL196" t="n">
        <v>0</v>
      </c>
      <c r="AM196" t="n">
        <v>0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HYPERLINK("https://creighton-primo.hosted.exlibrisgroup.com/primo-explore/search?tab=default_tab&amp;search_scope=EVERYTHING&amp;vid=01CRU&amp;lang=en_US&amp;offset=0&amp;query=any,contains,991005293549702656","Catalog Record")</f>
        <v/>
      </c>
      <c r="AT196">
        <f>HYPERLINK("http://www.worldcat.org/oclc/84999464","WorldCat Record")</f>
        <v/>
      </c>
      <c r="AU196" t="inlineStr">
        <is>
          <t>375589541:eng</t>
        </is>
      </c>
      <c r="AV196" t="inlineStr">
        <is>
          <t>84999464</t>
        </is>
      </c>
      <c r="AW196" t="inlineStr">
        <is>
          <t>991005293549702656</t>
        </is>
      </c>
      <c r="AX196" t="inlineStr">
        <is>
          <t>991005293549702656</t>
        </is>
      </c>
      <c r="AY196" t="inlineStr">
        <is>
          <t>2264344030002656</t>
        </is>
      </c>
      <c r="AZ196" t="inlineStr">
        <is>
          <t>BOOK</t>
        </is>
      </c>
      <c r="BB196" t="inlineStr">
        <is>
          <t>9781905541140</t>
        </is>
      </c>
      <c r="BC196" t="inlineStr">
        <is>
          <t>32285005505523</t>
        </is>
      </c>
      <c r="BD196" t="inlineStr">
        <is>
          <t>893533508</t>
        </is>
      </c>
    </row>
    <row r="197">
      <c r="A197" t="inlineStr">
        <is>
          <t>No</t>
        </is>
      </c>
      <c r="B197" t="inlineStr">
        <is>
          <t>HV3199.U62 N37 1982</t>
        </is>
      </c>
      <c r="C197" t="inlineStr">
        <is>
          <t>0                      HV 3199000U  62                 N  37          1982</t>
        </is>
      </c>
      <c r="D197" t="inlineStr">
        <is>
          <t>Color in a white society : selected papers from the NASW Conference--Color in a White Society, Los Angeles, California, June 1982 / Barbara W. White, editor.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NASW Conference: Color in a White Society (1982 : Los Angeles, Calif.)</t>
        </is>
      </c>
      <c r="L197" t="inlineStr">
        <is>
          <t>Silver Spring, Md. : National Association of Social Workers, c1984.</t>
        </is>
      </c>
      <c r="M197" t="inlineStr">
        <is>
          <t>1984</t>
        </is>
      </c>
      <c r="O197" t="inlineStr">
        <is>
          <t>eng</t>
        </is>
      </c>
      <c r="P197" t="inlineStr">
        <is>
          <t>mdu</t>
        </is>
      </c>
      <c r="R197" t="inlineStr">
        <is>
          <t xml:space="preserve">HV </t>
        </is>
      </c>
      <c r="S197" t="n">
        <v>6</v>
      </c>
      <c r="T197" t="n">
        <v>6</v>
      </c>
      <c r="U197" t="inlineStr">
        <is>
          <t>2006-04-10</t>
        </is>
      </c>
      <c r="V197" t="inlineStr">
        <is>
          <t>2006-04-10</t>
        </is>
      </c>
      <c r="W197" t="inlineStr">
        <is>
          <t>1996-10-30</t>
        </is>
      </c>
      <c r="X197" t="inlineStr">
        <is>
          <t>1996-10-30</t>
        </is>
      </c>
      <c r="Y197" t="n">
        <v>475</v>
      </c>
      <c r="Z197" t="n">
        <v>448</v>
      </c>
      <c r="AA197" t="n">
        <v>455</v>
      </c>
      <c r="AB197" t="n">
        <v>8</v>
      </c>
      <c r="AC197" t="n">
        <v>8</v>
      </c>
      <c r="AD197" t="n">
        <v>20</v>
      </c>
      <c r="AE197" t="n">
        <v>20</v>
      </c>
      <c r="AF197" t="n">
        <v>5</v>
      </c>
      <c r="AG197" t="n">
        <v>5</v>
      </c>
      <c r="AH197" t="n">
        <v>4</v>
      </c>
      <c r="AI197" t="n">
        <v>4</v>
      </c>
      <c r="AJ197" t="n">
        <v>8</v>
      </c>
      <c r="AK197" t="n">
        <v>8</v>
      </c>
      <c r="AL197" t="n">
        <v>6</v>
      </c>
      <c r="AM197" t="n">
        <v>6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HYPERLINK("http://catalog.hathitrust.org/Record/000587727","HathiTrust Record")</f>
        <v/>
      </c>
      <c r="AS197">
        <f>HYPERLINK("https://creighton-primo.hosted.exlibrisgroup.com/primo-explore/search?tab=default_tab&amp;search_scope=EVERYTHING&amp;vid=01CRU&amp;lang=en_US&amp;offset=0&amp;query=any,contains,991000486839702656","Catalog Record")</f>
        <v/>
      </c>
      <c r="AT197">
        <f>HYPERLINK("http://www.worldcat.org/oclc/11089064","WorldCat Record")</f>
        <v/>
      </c>
      <c r="AU197" t="inlineStr">
        <is>
          <t>4019144:eng</t>
        </is>
      </c>
      <c r="AV197" t="inlineStr">
        <is>
          <t>11089064</t>
        </is>
      </c>
      <c r="AW197" t="inlineStr">
        <is>
          <t>991000486839702656</t>
        </is>
      </c>
      <c r="AX197" t="inlineStr">
        <is>
          <t>991000486839702656</t>
        </is>
      </c>
      <c r="AY197" t="inlineStr">
        <is>
          <t>2268287640002656</t>
        </is>
      </c>
      <c r="AZ197" t="inlineStr">
        <is>
          <t>BOOK</t>
        </is>
      </c>
      <c r="BB197" t="inlineStr">
        <is>
          <t>9780871011282</t>
        </is>
      </c>
      <c r="BC197" t="inlineStr">
        <is>
          <t>32285002379328</t>
        </is>
      </c>
      <c r="BD197" t="inlineStr">
        <is>
          <t>893345699</t>
        </is>
      </c>
    </row>
    <row r="198">
      <c r="A198" t="inlineStr">
        <is>
          <t>No</t>
        </is>
      </c>
      <c r="B198" t="inlineStr">
        <is>
          <t>HV37 .C636 1978</t>
        </is>
      </c>
      <c r="C198" t="inlineStr">
        <is>
          <t>0                      HV 0037000C  636         1978</t>
        </is>
      </c>
      <c r="D198" t="inlineStr">
        <is>
          <t>Doing good : the limits of benevolence / Willard Gaylin, Ira Glasser, Steven Marcus, David J. Rothman.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New York : Pantheon Books, c1978.</t>
        </is>
      </c>
      <c r="M198" t="inlineStr">
        <is>
          <t>1978</t>
        </is>
      </c>
      <c r="N198" t="inlineStr">
        <is>
          <t>1st ed.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HV </t>
        </is>
      </c>
      <c r="S198" t="n">
        <v>2</v>
      </c>
      <c r="T198" t="n">
        <v>2</v>
      </c>
      <c r="U198" t="inlineStr">
        <is>
          <t>1994-03-22</t>
        </is>
      </c>
      <c r="V198" t="inlineStr">
        <is>
          <t>1994-03-22</t>
        </is>
      </c>
      <c r="W198" t="inlineStr">
        <is>
          <t>1990-07-20</t>
        </is>
      </c>
      <c r="X198" t="inlineStr">
        <is>
          <t>1990-07-20</t>
        </is>
      </c>
      <c r="Y198" t="n">
        <v>902</v>
      </c>
      <c r="Z198" t="n">
        <v>819</v>
      </c>
      <c r="AA198" t="n">
        <v>910</v>
      </c>
      <c r="AB198" t="n">
        <v>4</v>
      </c>
      <c r="AC198" t="n">
        <v>5</v>
      </c>
      <c r="AD198" t="n">
        <v>41</v>
      </c>
      <c r="AE198" t="n">
        <v>46</v>
      </c>
      <c r="AF198" t="n">
        <v>14</v>
      </c>
      <c r="AG198" t="n">
        <v>15</v>
      </c>
      <c r="AH198" t="n">
        <v>5</v>
      </c>
      <c r="AI198" t="n">
        <v>7</v>
      </c>
      <c r="AJ198" t="n">
        <v>15</v>
      </c>
      <c r="AK198" t="n">
        <v>16</v>
      </c>
      <c r="AL198" t="n">
        <v>3</v>
      </c>
      <c r="AM198" t="n">
        <v>4</v>
      </c>
      <c r="AN198" t="n">
        <v>10</v>
      </c>
      <c r="AO198" t="n">
        <v>10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HYPERLINK("http://catalog.hathitrust.org/Record/000133871","HathiTrust Record")</f>
        <v/>
      </c>
      <c r="AS198">
        <f>HYPERLINK("https://creighton-primo.hosted.exlibrisgroup.com/primo-explore/search?tab=default_tab&amp;search_scope=EVERYTHING&amp;vid=01CRU&amp;lang=en_US&amp;offset=0&amp;query=any,contains,991004515299702656","Catalog Record")</f>
        <v/>
      </c>
      <c r="AT198">
        <f>HYPERLINK("http://www.worldcat.org/oclc/3413766","WorldCat Record")</f>
        <v/>
      </c>
      <c r="AU198" t="inlineStr">
        <is>
          <t>902267387:eng</t>
        </is>
      </c>
      <c r="AV198" t="inlineStr">
        <is>
          <t>3413766</t>
        </is>
      </c>
      <c r="AW198" t="inlineStr">
        <is>
          <t>991004515299702656</t>
        </is>
      </c>
      <c r="AX198" t="inlineStr">
        <is>
          <t>991004515299702656</t>
        </is>
      </c>
      <c r="AY198" t="inlineStr">
        <is>
          <t>2255675840002656</t>
        </is>
      </c>
      <c r="AZ198" t="inlineStr">
        <is>
          <t>BOOK</t>
        </is>
      </c>
      <c r="BB198" t="inlineStr">
        <is>
          <t>9780394411330</t>
        </is>
      </c>
      <c r="BC198" t="inlineStr">
        <is>
          <t>32285000246271</t>
        </is>
      </c>
      <c r="BD198" t="inlineStr">
        <is>
          <t>893235596</t>
        </is>
      </c>
    </row>
    <row r="199">
      <c r="A199" t="inlineStr">
        <is>
          <t>No</t>
        </is>
      </c>
      <c r="B199" t="inlineStr">
        <is>
          <t>HV37 .P28 1989</t>
        </is>
      </c>
      <c r="C199" t="inlineStr">
        <is>
          <t>0                      HV 0037000P  28          1989</t>
        </is>
      </c>
      <c r="D199" t="inlineStr">
        <is>
          <t>Age, class, politics, and the welfare state / Fred C. Pampel, John B. Williamson.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Pampel, Fred C.</t>
        </is>
      </c>
      <c r="L199" t="inlineStr">
        <is>
          <t>Cambridge [England] ; New York : Cambridge University Press, 1989.</t>
        </is>
      </c>
      <c r="M199" t="inlineStr">
        <is>
          <t>1989</t>
        </is>
      </c>
      <c r="O199" t="inlineStr">
        <is>
          <t>eng</t>
        </is>
      </c>
      <c r="P199" t="inlineStr">
        <is>
          <t>enk</t>
        </is>
      </c>
      <c r="Q199" t="inlineStr">
        <is>
          <t>Arnold and Caroline Rose monograph series in sociology</t>
        </is>
      </c>
      <c r="R199" t="inlineStr">
        <is>
          <t xml:space="preserve">HV </t>
        </is>
      </c>
      <c r="S199" t="n">
        <v>15</v>
      </c>
      <c r="T199" t="n">
        <v>15</v>
      </c>
      <c r="U199" t="inlineStr">
        <is>
          <t>1998-03-26</t>
        </is>
      </c>
      <c r="V199" t="inlineStr">
        <is>
          <t>1998-03-26</t>
        </is>
      </c>
      <c r="W199" t="inlineStr">
        <is>
          <t>1990-04-03</t>
        </is>
      </c>
      <c r="X199" t="inlineStr">
        <is>
          <t>1990-04-03</t>
        </is>
      </c>
      <c r="Y199" t="n">
        <v>443</v>
      </c>
      <c r="Z199" t="n">
        <v>326</v>
      </c>
      <c r="AA199" t="n">
        <v>380</v>
      </c>
      <c r="AB199" t="n">
        <v>3</v>
      </c>
      <c r="AC199" t="n">
        <v>3</v>
      </c>
      <c r="AD199" t="n">
        <v>18</v>
      </c>
      <c r="AE199" t="n">
        <v>18</v>
      </c>
      <c r="AF199" t="n">
        <v>4</v>
      </c>
      <c r="AG199" t="n">
        <v>4</v>
      </c>
      <c r="AH199" t="n">
        <v>6</v>
      </c>
      <c r="AI199" t="n">
        <v>6</v>
      </c>
      <c r="AJ199" t="n">
        <v>11</v>
      </c>
      <c r="AK199" t="n">
        <v>11</v>
      </c>
      <c r="AL199" t="n">
        <v>2</v>
      </c>
      <c r="AM199" t="n">
        <v>2</v>
      </c>
      <c r="AN199" t="n">
        <v>1</v>
      </c>
      <c r="AO199" t="n">
        <v>1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HYPERLINK("https://creighton-primo.hosted.exlibrisgroup.com/primo-explore/search?tab=default_tab&amp;search_scope=EVERYTHING&amp;vid=01CRU&amp;lang=en_US&amp;offset=0&amp;query=any,contains,991001446099702656","Catalog Record")</f>
        <v/>
      </c>
      <c r="AT199">
        <f>HYPERLINK("http://www.worldcat.org/oclc/19271566","WorldCat Record")</f>
        <v/>
      </c>
      <c r="AU199" t="inlineStr">
        <is>
          <t>21467114:eng</t>
        </is>
      </c>
      <c r="AV199" t="inlineStr">
        <is>
          <t>19271566</t>
        </is>
      </c>
      <c r="AW199" t="inlineStr">
        <is>
          <t>991001446099702656</t>
        </is>
      </c>
      <c r="AX199" t="inlineStr">
        <is>
          <t>991001446099702656</t>
        </is>
      </c>
      <c r="AY199" t="inlineStr">
        <is>
          <t>2270232770002656</t>
        </is>
      </c>
      <c r="AZ199" t="inlineStr">
        <is>
          <t>BOOK</t>
        </is>
      </c>
      <c r="BC199" t="inlineStr">
        <is>
          <t>32285000093038</t>
        </is>
      </c>
      <c r="BD199" t="inlineStr">
        <is>
          <t>893903424</t>
        </is>
      </c>
    </row>
    <row r="200">
      <c r="A200" t="inlineStr">
        <is>
          <t>No</t>
        </is>
      </c>
      <c r="B200" t="inlineStr">
        <is>
          <t>HV40 .B873 1992</t>
        </is>
      </c>
      <c r="C200" t="inlineStr">
        <is>
          <t>0                      HV 0040000B  873         1992</t>
        </is>
      </c>
      <c r="D200" t="inlineStr">
        <is>
          <t>Handbook of social work practice / by John A. Brown.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Brown, John A., 1931-</t>
        </is>
      </c>
      <c r="L200" t="inlineStr">
        <is>
          <t>Springfield, Ill. : C.C. Thomas, c1992.</t>
        </is>
      </c>
      <c r="M200" t="inlineStr">
        <is>
          <t>1992</t>
        </is>
      </c>
      <c r="O200" t="inlineStr">
        <is>
          <t>eng</t>
        </is>
      </c>
      <c r="P200" t="inlineStr">
        <is>
          <t>ilu</t>
        </is>
      </c>
      <c r="R200" t="inlineStr">
        <is>
          <t xml:space="preserve">HV </t>
        </is>
      </c>
      <c r="S200" t="n">
        <v>1</v>
      </c>
      <c r="T200" t="n">
        <v>1</v>
      </c>
      <c r="U200" t="inlineStr">
        <is>
          <t>2004-02-25</t>
        </is>
      </c>
      <c r="V200" t="inlineStr">
        <is>
          <t>2004-02-25</t>
        </is>
      </c>
      <c r="W200" t="inlineStr">
        <is>
          <t>1993-01-04</t>
        </is>
      </c>
      <c r="X200" t="inlineStr">
        <is>
          <t>1993-01-04</t>
        </is>
      </c>
      <c r="Y200" t="n">
        <v>148</v>
      </c>
      <c r="Z200" t="n">
        <v>119</v>
      </c>
      <c r="AA200" t="n">
        <v>119</v>
      </c>
      <c r="AB200" t="n">
        <v>1</v>
      </c>
      <c r="AC200" t="n">
        <v>1</v>
      </c>
      <c r="AD200" t="n">
        <v>5</v>
      </c>
      <c r="AE200" t="n">
        <v>5</v>
      </c>
      <c r="AF200" t="n">
        <v>1</v>
      </c>
      <c r="AG200" t="n">
        <v>1</v>
      </c>
      <c r="AH200" t="n">
        <v>0</v>
      </c>
      <c r="AI200" t="n">
        <v>0</v>
      </c>
      <c r="AJ200" t="n">
        <v>4</v>
      </c>
      <c r="AK200" t="n">
        <v>4</v>
      </c>
      <c r="AL200" t="n">
        <v>0</v>
      </c>
      <c r="AM200" t="n">
        <v>0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HYPERLINK("https://creighton-primo.hosted.exlibrisgroup.com/primo-explore/search?tab=default_tab&amp;search_scope=EVERYTHING&amp;vid=01CRU&amp;lang=en_US&amp;offset=0&amp;query=any,contains,991001999849702656","Catalog Record")</f>
        <v/>
      </c>
      <c r="AT200">
        <f>HYPERLINK("http://www.worldcat.org/oclc/25410589","WorldCat Record")</f>
        <v/>
      </c>
      <c r="AU200" t="inlineStr">
        <is>
          <t>360810841:eng</t>
        </is>
      </c>
      <c r="AV200" t="inlineStr">
        <is>
          <t>25410589</t>
        </is>
      </c>
      <c r="AW200" t="inlineStr">
        <is>
          <t>991001999849702656</t>
        </is>
      </c>
      <c r="AX200" t="inlineStr">
        <is>
          <t>991001999849702656</t>
        </is>
      </c>
      <c r="AY200" t="inlineStr">
        <is>
          <t>2255165810002656</t>
        </is>
      </c>
      <c r="AZ200" t="inlineStr">
        <is>
          <t>BOOK</t>
        </is>
      </c>
      <c r="BB200" t="inlineStr">
        <is>
          <t>9780398057992</t>
        </is>
      </c>
      <c r="BC200" t="inlineStr">
        <is>
          <t>32285001403889</t>
        </is>
      </c>
      <c r="BD200" t="inlineStr">
        <is>
          <t>893898268</t>
        </is>
      </c>
    </row>
    <row r="201">
      <c r="A201" t="inlineStr">
        <is>
          <t>No</t>
        </is>
      </c>
      <c r="B201" t="inlineStr">
        <is>
          <t>HV40 .B874 2005</t>
        </is>
      </c>
      <c r="C201" t="inlineStr">
        <is>
          <t>0                      HV 0040000B  874         2005</t>
        </is>
      </c>
      <c r="D201" t="inlineStr">
        <is>
          <t>A practical guide to social service evaluation / Carl F. Brun.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Brun, Carl F.</t>
        </is>
      </c>
      <c r="L201" t="inlineStr">
        <is>
          <t>Chicago, Ill. : Lyceum Books, 2005.</t>
        </is>
      </c>
      <c r="M201" t="inlineStr">
        <is>
          <t>2005</t>
        </is>
      </c>
      <c r="O201" t="inlineStr">
        <is>
          <t>eng</t>
        </is>
      </c>
      <c r="P201" t="inlineStr">
        <is>
          <t>ilu</t>
        </is>
      </c>
      <c r="R201" t="inlineStr">
        <is>
          <t xml:space="preserve">HV </t>
        </is>
      </c>
      <c r="S201" t="n">
        <v>1</v>
      </c>
      <c r="T201" t="n">
        <v>1</v>
      </c>
      <c r="U201" t="inlineStr">
        <is>
          <t>2006-10-26</t>
        </is>
      </c>
      <c r="V201" t="inlineStr">
        <is>
          <t>2006-10-26</t>
        </is>
      </c>
      <c r="W201" t="inlineStr">
        <is>
          <t>2006-10-26</t>
        </is>
      </c>
      <c r="X201" t="inlineStr">
        <is>
          <t>2006-10-26</t>
        </is>
      </c>
      <c r="Y201" t="n">
        <v>136</v>
      </c>
      <c r="Z201" t="n">
        <v>112</v>
      </c>
      <c r="AA201" t="n">
        <v>114</v>
      </c>
      <c r="AB201" t="n">
        <v>1</v>
      </c>
      <c r="AC201" t="n">
        <v>1</v>
      </c>
      <c r="AD201" t="n">
        <v>6</v>
      </c>
      <c r="AE201" t="n">
        <v>6</v>
      </c>
      <c r="AF201" t="n">
        <v>2</v>
      </c>
      <c r="AG201" t="n">
        <v>2</v>
      </c>
      <c r="AH201" t="n">
        <v>1</v>
      </c>
      <c r="AI201" t="n">
        <v>1</v>
      </c>
      <c r="AJ201" t="n">
        <v>4</v>
      </c>
      <c r="AK201" t="n">
        <v>4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HYPERLINK("http://catalog.hathitrust.org/Record/005565887","HathiTrust Record")</f>
        <v/>
      </c>
      <c r="AS201">
        <f>HYPERLINK("https://creighton-primo.hosted.exlibrisgroup.com/primo-explore/search?tab=default_tab&amp;search_scope=EVERYTHING&amp;vid=01CRU&amp;lang=en_US&amp;offset=0&amp;query=any,contains,991004926369702656","Catalog Record")</f>
        <v/>
      </c>
      <c r="AT201">
        <f>HYPERLINK("http://www.worldcat.org/oclc/58919771","WorldCat Record")</f>
        <v/>
      </c>
      <c r="AU201" t="inlineStr">
        <is>
          <t>987255:eng</t>
        </is>
      </c>
      <c r="AV201" t="inlineStr">
        <is>
          <t>58919771</t>
        </is>
      </c>
      <c r="AW201" t="inlineStr">
        <is>
          <t>991004926369702656</t>
        </is>
      </c>
      <c r="AX201" t="inlineStr">
        <is>
          <t>991004926369702656</t>
        </is>
      </c>
      <c r="AY201" t="inlineStr">
        <is>
          <t>2270495990002656</t>
        </is>
      </c>
      <c r="AZ201" t="inlineStr">
        <is>
          <t>BOOK</t>
        </is>
      </c>
      <c r="BB201" t="inlineStr">
        <is>
          <t>9780925065827</t>
        </is>
      </c>
      <c r="BC201" t="inlineStr">
        <is>
          <t>32285005233464</t>
        </is>
      </c>
      <c r="BD201" t="inlineStr">
        <is>
          <t>893230006</t>
        </is>
      </c>
    </row>
    <row r="202">
      <c r="A202" t="inlineStr">
        <is>
          <t>No</t>
        </is>
      </c>
      <c r="B202" t="inlineStr">
        <is>
          <t>HV40 .C64 2005</t>
        </is>
      </c>
      <c r="C202" t="inlineStr">
        <is>
          <t>0                      HV 0040000C  64          2005</t>
        </is>
      </c>
      <c r="D202" t="inlineStr">
        <is>
          <t>Family practice : a problem-based learning approach / by Heather Coleman, Don Collins, Tara Collins.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Coleman, Heather.</t>
        </is>
      </c>
      <c r="L202" t="inlineStr">
        <is>
          <t>Peosta, IA : Eddie Bowers, 2005.</t>
        </is>
      </c>
      <c r="M202" t="inlineStr">
        <is>
          <t>2005</t>
        </is>
      </c>
      <c r="O202" t="inlineStr">
        <is>
          <t>eng</t>
        </is>
      </c>
      <c r="P202" t="inlineStr">
        <is>
          <t>iau</t>
        </is>
      </c>
      <c r="R202" t="inlineStr">
        <is>
          <t xml:space="preserve">HV </t>
        </is>
      </c>
      <c r="S202" t="n">
        <v>2</v>
      </c>
      <c r="T202" t="n">
        <v>2</v>
      </c>
      <c r="U202" t="inlineStr">
        <is>
          <t>2010-04-22</t>
        </is>
      </c>
      <c r="V202" t="inlineStr">
        <is>
          <t>2010-04-22</t>
        </is>
      </c>
      <c r="W202" t="inlineStr">
        <is>
          <t>2006-03-14</t>
        </is>
      </c>
      <c r="X202" t="inlineStr">
        <is>
          <t>2006-03-14</t>
        </is>
      </c>
      <c r="Y202" t="n">
        <v>24</v>
      </c>
      <c r="Z202" t="n">
        <v>15</v>
      </c>
      <c r="AA202" t="n">
        <v>15</v>
      </c>
      <c r="AB202" t="n">
        <v>1</v>
      </c>
      <c r="AC202" t="n">
        <v>1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HYPERLINK("https://creighton-primo.hosted.exlibrisgroup.com/primo-explore/search?tab=default_tab&amp;search_scope=EVERYTHING&amp;vid=01CRU&amp;lang=en_US&amp;offset=0&amp;query=any,contains,991004475509702656","Catalog Record")</f>
        <v/>
      </c>
      <c r="AT202">
        <f>HYPERLINK("http://www.worldcat.org/oclc/64403845","WorldCat Record")</f>
        <v/>
      </c>
      <c r="AU202" t="inlineStr">
        <is>
          <t>48369284:eng</t>
        </is>
      </c>
      <c r="AV202" t="inlineStr">
        <is>
          <t>64403845</t>
        </is>
      </c>
      <c r="AW202" t="inlineStr">
        <is>
          <t>991004475509702656</t>
        </is>
      </c>
      <c r="AX202" t="inlineStr">
        <is>
          <t>991004475509702656</t>
        </is>
      </c>
      <c r="AY202" t="inlineStr">
        <is>
          <t>2256581660002656</t>
        </is>
      </c>
      <c r="AZ202" t="inlineStr">
        <is>
          <t>BOOK</t>
        </is>
      </c>
      <c r="BB202" t="inlineStr">
        <is>
          <t>9781578790623</t>
        </is>
      </c>
      <c r="BC202" t="inlineStr">
        <is>
          <t>32285005027924</t>
        </is>
      </c>
      <c r="BD202" t="inlineStr">
        <is>
          <t>893241481</t>
        </is>
      </c>
    </row>
    <row r="203">
      <c r="A203" t="inlineStr">
        <is>
          <t>No</t>
        </is>
      </c>
      <c r="B203" t="inlineStr">
        <is>
          <t>HV40 .C67 2005</t>
        </is>
      </c>
      <c r="C203" t="inlineStr">
        <is>
          <t>0                      HV 0040000C  67          2005</t>
        </is>
      </c>
      <c r="D203" t="inlineStr">
        <is>
          <t>Building strengths and skills : a collaborative approach to working with clients / Jacqueline Corcoran.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Corcoran, Jacqueline.</t>
        </is>
      </c>
      <c r="L203" t="inlineStr">
        <is>
          <t>Oxford ; New York : Oxford University Press, 2005.</t>
        </is>
      </c>
      <c r="M203" t="inlineStr">
        <is>
          <t>2005</t>
        </is>
      </c>
      <c r="O203" t="inlineStr">
        <is>
          <t>eng</t>
        </is>
      </c>
      <c r="P203" t="inlineStr">
        <is>
          <t>enk</t>
        </is>
      </c>
      <c r="R203" t="inlineStr">
        <is>
          <t xml:space="preserve">HV </t>
        </is>
      </c>
      <c r="S203" t="n">
        <v>1</v>
      </c>
      <c r="T203" t="n">
        <v>1</v>
      </c>
      <c r="U203" t="inlineStr">
        <is>
          <t>2007-04-11</t>
        </is>
      </c>
      <c r="V203" t="inlineStr">
        <is>
          <t>2007-04-11</t>
        </is>
      </c>
      <c r="W203" t="inlineStr">
        <is>
          <t>2007-04-11</t>
        </is>
      </c>
      <c r="X203" t="inlineStr">
        <is>
          <t>2007-04-11</t>
        </is>
      </c>
      <c r="Y203" t="n">
        <v>302</v>
      </c>
      <c r="Z203" t="n">
        <v>228</v>
      </c>
      <c r="AA203" t="n">
        <v>811</v>
      </c>
      <c r="AB203" t="n">
        <v>5</v>
      </c>
      <c r="AC203" t="n">
        <v>20</v>
      </c>
      <c r="AD203" t="n">
        <v>12</v>
      </c>
      <c r="AE203" t="n">
        <v>40</v>
      </c>
      <c r="AF203" t="n">
        <v>3</v>
      </c>
      <c r="AG203" t="n">
        <v>12</v>
      </c>
      <c r="AH203" t="n">
        <v>1</v>
      </c>
      <c r="AI203" t="n">
        <v>8</v>
      </c>
      <c r="AJ203" t="n">
        <v>5</v>
      </c>
      <c r="AK203" t="n">
        <v>11</v>
      </c>
      <c r="AL203" t="n">
        <v>4</v>
      </c>
      <c r="AM203" t="n">
        <v>12</v>
      </c>
      <c r="AN203" t="n">
        <v>0</v>
      </c>
      <c r="AO203" t="n">
        <v>1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HYPERLINK("http://catalog.hathitrust.org/Record/004764090","HathiTrust Record")</f>
        <v/>
      </c>
      <c r="AS203">
        <f>HYPERLINK("https://creighton-primo.hosted.exlibrisgroup.com/primo-explore/search?tab=default_tab&amp;search_scope=EVERYTHING&amp;vid=01CRU&amp;lang=en_US&amp;offset=0&amp;query=any,contains,991005061499702656","Catalog Record")</f>
        <v/>
      </c>
      <c r="AT203">
        <f>HYPERLINK("http://www.worldcat.org/oclc/55511458","WorldCat Record")</f>
        <v/>
      </c>
      <c r="AU203" t="inlineStr">
        <is>
          <t>793991158:eng</t>
        </is>
      </c>
      <c r="AV203" t="inlineStr">
        <is>
          <t>55511458</t>
        </is>
      </c>
      <c r="AW203" t="inlineStr">
        <is>
          <t>991005061499702656</t>
        </is>
      </c>
      <c r="AX203" t="inlineStr">
        <is>
          <t>991005061499702656</t>
        </is>
      </c>
      <c r="AY203" t="inlineStr">
        <is>
          <t>2261124400002656</t>
        </is>
      </c>
      <c r="AZ203" t="inlineStr">
        <is>
          <t>BOOK</t>
        </is>
      </c>
      <c r="BB203" t="inlineStr">
        <is>
          <t>9780195154306</t>
        </is>
      </c>
      <c r="BC203" t="inlineStr">
        <is>
          <t>32285005286280</t>
        </is>
      </c>
      <c r="BD203" t="inlineStr">
        <is>
          <t>893430775</t>
        </is>
      </c>
    </row>
    <row r="204">
      <c r="A204" t="inlineStr">
        <is>
          <t>No</t>
        </is>
      </c>
      <c r="B204" t="inlineStr">
        <is>
          <t>HV40 .D4394 2000</t>
        </is>
      </c>
      <c r="C204" t="inlineStr">
        <is>
          <t>0                      HV 0040000D  4394        2000</t>
        </is>
      </c>
      <c r="D204" t="inlineStr">
        <is>
          <t>Community social work practice in an urban context : the potential of a capacity-enhancement perspective / Melvin Delgado.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Delgado, Melvin.</t>
        </is>
      </c>
      <c r="L204" t="inlineStr">
        <is>
          <t>New York : Oxford University Press, 2000.</t>
        </is>
      </c>
      <c r="M204" t="inlineStr">
        <is>
          <t>1999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HV </t>
        </is>
      </c>
      <c r="S204" t="n">
        <v>2</v>
      </c>
      <c r="T204" t="n">
        <v>2</v>
      </c>
      <c r="U204" t="inlineStr">
        <is>
          <t>2009-06-01</t>
        </is>
      </c>
      <c r="V204" t="inlineStr">
        <is>
          <t>2009-06-01</t>
        </is>
      </c>
      <c r="W204" t="inlineStr">
        <is>
          <t>1999-12-07</t>
        </is>
      </c>
      <c r="X204" t="inlineStr">
        <is>
          <t>1999-12-07</t>
        </is>
      </c>
      <c r="Y204" t="n">
        <v>319</v>
      </c>
      <c r="Z204" t="n">
        <v>256</v>
      </c>
      <c r="AA204" t="n">
        <v>825</v>
      </c>
      <c r="AB204" t="n">
        <v>3</v>
      </c>
      <c r="AC204" t="n">
        <v>9</v>
      </c>
      <c r="AD204" t="n">
        <v>14</v>
      </c>
      <c r="AE204" t="n">
        <v>37</v>
      </c>
      <c r="AF204" t="n">
        <v>6</v>
      </c>
      <c r="AG204" t="n">
        <v>13</v>
      </c>
      <c r="AH204" t="n">
        <v>0</v>
      </c>
      <c r="AI204" t="n">
        <v>7</v>
      </c>
      <c r="AJ204" t="n">
        <v>9</v>
      </c>
      <c r="AK204" t="n">
        <v>14</v>
      </c>
      <c r="AL204" t="n">
        <v>2</v>
      </c>
      <c r="AM204" t="n">
        <v>8</v>
      </c>
      <c r="AN204" t="n">
        <v>0</v>
      </c>
      <c r="AO204" t="n">
        <v>1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HYPERLINK("https://creighton-primo.hosted.exlibrisgroup.com/primo-explore/search?tab=default_tab&amp;search_scope=EVERYTHING&amp;vid=01CRU&amp;lang=en_US&amp;offset=0&amp;query=any,contains,991002988249702656","Catalog Record")</f>
        <v/>
      </c>
      <c r="AT204">
        <f>HYPERLINK("http://www.worldcat.org/oclc/40298462","WorldCat Record")</f>
        <v/>
      </c>
      <c r="AU204" t="inlineStr">
        <is>
          <t>803321408:eng</t>
        </is>
      </c>
      <c r="AV204" t="inlineStr">
        <is>
          <t>40298462</t>
        </is>
      </c>
      <c r="AW204" t="inlineStr">
        <is>
          <t>991002988249702656</t>
        </is>
      </c>
      <c r="AX204" t="inlineStr">
        <is>
          <t>991002988249702656</t>
        </is>
      </c>
      <c r="AY204" t="inlineStr">
        <is>
          <t>2259328850002656</t>
        </is>
      </c>
      <c r="AZ204" t="inlineStr">
        <is>
          <t>BOOK</t>
        </is>
      </c>
      <c r="BB204" t="inlineStr">
        <is>
          <t>9780195125467</t>
        </is>
      </c>
      <c r="BC204" t="inlineStr">
        <is>
          <t>32285003629267</t>
        </is>
      </c>
      <c r="BD204" t="inlineStr">
        <is>
          <t>893805300</t>
        </is>
      </c>
    </row>
    <row r="205">
      <c r="A205" t="inlineStr">
        <is>
          <t>No</t>
        </is>
      </c>
      <c r="B205" t="inlineStr">
        <is>
          <t>HV40 .D68 1983</t>
        </is>
      </c>
      <c r="C205" t="inlineStr">
        <is>
          <t>0                      HV 0040000D  68          1983</t>
        </is>
      </c>
      <c r="D205" t="inlineStr">
        <is>
          <t>Why charity? : the case for a third sector / James Douglas.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Douglas, James (James A. T.)</t>
        </is>
      </c>
      <c r="L205" t="inlineStr">
        <is>
          <t>Beverly Hills : Sage Publications, c1983.</t>
        </is>
      </c>
      <c r="M205" t="inlineStr">
        <is>
          <t>1983</t>
        </is>
      </c>
      <c r="O205" t="inlineStr">
        <is>
          <t>eng</t>
        </is>
      </c>
      <c r="P205" t="inlineStr">
        <is>
          <t>cau</t>
        </is>
      </c>
      <c r="R205" t="inlineStr">
        <is>
          <t xml:space="preserve">HV </t>
        </is>
      </c>
      <c r="S205" t="n">
        <v>3</v>
      </c>
      <c r="T205" t="n">
        <v>3</v>
      </c>
      <c r="U205" t="inlineStr">
        <is>
          <t>2009-09-02</t>
        </is>
      </c>
      <c r="V205" t="inlineStr">
        <is>
          <t>2009-09-02</t>
        </is>
      </c>
      <c r="W205" t="inlineStr">
        <is>
          <t>1993-05-14</t>
        </is>
      </c>
      <c r="X205" t="inlineStr">
        <is>
          <t>1993-05-14</t>
        </is>
      </c>
      <c r="Y205" t="n">
        <v>380</v>
      </c>
      <c r="Z205" t="n">
        <v>287</v>
      </c>
      <c r="AA205" t="n">
        <v>294</v>
      </c>
      <c r="AB205" t="n">
        <v>4</v>
      </c>
      <c r="AC205" t="n">
        <v>4</v>
      </c>
      <c r="AD205" t="n">
        <v>16</v>
      </c>
      <c r="AE205" t="n">
        <v>16</v>
      </c>
      <c r="AF205" t="n">
        <v>3</v>
      </c>
      <c r="AG205" t="n">
        <v>3</v>
      </c>
      <c r="AH205" t="n">
        <v>6</v>
      </c>
      <c r="AI205" t="n">
        <v>6</v>
      </c>
      <c r="AJ205" t="n">
        <v>6</v>
      </c>
      <c r="AK205" t="n">
        <v>6</v>
      </c>
      <c r="AL205" t="n">
        <v>3</v>
      </c>
      <c r="AM205" t="n">
        <v>3</v>
      </c>
      <c r="AN205" t="n">
        <v>1</v>
      </c>
      <c r="AO205" t="n">
        <v>1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HYPERLINK("http://catalog.hathitrust.org/Record/000773598","HathiTrust Record")</f>
        <v/>
      </c>
      <c r="AS205">
        <f>HYPERLINK("https://creighton-primo.hosted.exlibrisgroup.com/primo-explore/search?tab=default_tab&amp;search_scope=EVERYTHING&amp;vid=01CRU&amp;lang=en_US&amp;offset=0&amp;query=any,contains,991000178769702656","Catalog Record")</f>
        <v/>
      </c>
      <c r="AT205">
        <f>HYPERLINK("http://www.worldcat.org/oclc/9370885","WorldCat Record")</f>
        <v/>
      </c>
      <c r="AU205" t="inlineStr">
        <is>
          <t>375856136:eng</t>
        </is>
      </c>
      <c r="AV205" t="inlineStr">
        <is>
          <t>9370885</t>
        </is>
      </c>
      <c r="AW205" t="inlineStr">
        <is>
          <t>991000178769702656</t>
        </is>
      </c>
      <c r="AX205" t="inlineStr">
        <is>
          <t>991000178769702656</t>
        </is>
      </c>
      <c r="AY205" t="inlineStr">
        <is>
          <t>2267525970002656</t>
        </is>
      </c>
      <c r="AZ205" t="inlineStr">
        <is>
          <t>BOOK</t>
        </is>
      </c>
      <c r="BB205" t="inlineStr">
        <is>
          <t>9780803920033</t>
        </is>
      </c>
      <c r="BC205" t="inlineStr">
        <is>
          <t>32285001680395</t>
        </is>
      </c>
      <c r="BD205" t="inlineStr">
        <is>
          <t>893607726</t>
        </is>
      </c>
    </row>
    <row r="206">
      <c r="A206" t="inlineStr">
        <is>
          <t>No</t>
        </is>
      </c>
      <c r="B206" t="inlineStr">
        <is>
          <t>HV40 .F683 2007</t>
        </is>
      </c>
      <c r="C206" t="inlineStr">
        <is>
          <t>0                      HV 0040000F  683         2007</t>
        </is>
      </c>
      <c r="D206" t="inlineStr">
        <is>
          <t>Foundations of social work practice : a graduate text / [edited by Mark A. Mattaini and Christine T. Lowery].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Washington, DC : NASW Press, c2007.</t>
        </is>
      </c>
      <c r="M206" t="inlineStr">
        <is>
          <t>2007</t>
        </is>
      </c>
      <c r="N206" t="inlineStr">
        <is>
          <t>4th ed.</t>
        </is>
      </c>
      <c r="O206" t="inlineStr">
        <is>
          <t>eng</t>
        </is>
      </c>
      <c r="P206" t="inlineStr">
        <is>
          <t>dcu</t>
        </is>
      </c>
      <c r="R206" t="inlineStr">
        <is>
          <t xml:space="preserve">HV </t>
        </is>
      </c>
      <c r="S206" t="n">
        <v>1</v>
      </c>
      <c r="T206" t="n">
        <v>1</v>
      </c>
      <c r="U206" t="inlineStr">
        <is>
          <t>2008-10-28</t>
        </is>
      </c>
      <c r="V206" t="inlineStr">
        <is>
          <t>2008-10-28</t>
        </is>
      </c>
      <c r="W206" t="inlineStr">
        <is>
          <t>2008-10-28</t>
        </is>
      </c>
      <c r="X206" t="inlineStr">
        <is>
          <t>2008-10-28</t>
        </is>
      </c>
      <c r="Y206" t="n">
        <v>144</v>
      </c>
      <c r="Z206" t="n">
        <v>117</v>
      </c>
      <c r="AA206" t="n">
        <v>374</v>
      </c>
      <c r="AB206" t="n">
        <v>2</v>
      </c>
      <c r="AC206" t="n">
        <v>2</v>
      </c>
      <c r="AD206" t="n">
        <v>5</v>
      </c>
      <c r="AE206" t="n">
        <v>12</v>
      </c>
      <c r="AF206" t="n">
        <v>0</v>
      </c>
      <c r="AG206" t="n">
        <v>2</v>
      </c>
      <c r="AH206" t="n">
        <v>2</v>
      </c>
      <c r="AI206" t="n">
        <v>5</v>
      </c>
      <c r="AJ206" t="n">
        <v>2</v>
      </c>
      <c r="AK206" t="n">
        <v>7</v>
      </c>
      <c r="AL206" t="n">
        <v>1</v>
      </c>
      <c r="AM206" t="n">
        <v>1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HYPERLINK("https://creighton-primo.hosted.exlibrisgroup.com/primo-explore/search?tab=default_tab&amp;search_scope=EVERYTHING&amp;vid=01CRU&amp;lang=en_US&amp;offset=0&amp;query=any,contains,991005264039702656","Catalog Record")</f>
        <v/>
      </c>
      <c r="AT206">
        <f>HYPERLINK("http://www.worldcat.org/oclc/71329904","WorldCat Record")</f>
        <v/>
      </c>
      <c r="AU206" t="inlineStr">
        <is>
          <t>501572945:eng</t>
        </is>
      </c>
      <c r="AV206" t="inlineStr">
        <is>
          <t>71329904</t>
        </is>
      </c>
      <c r="AW206" t="inlineStr">
        <is>
          <t>991005264039702656</t>
        </is>
      </c>
      <c r="AX206" t="inlineStr">
        <is>
          <t>991005264039702656</t>
        </is>
      </c>
      <c r="AY206" t="inlineStr">
        <is>
          <t>2266827190002656</t>
        </is>
      </c>
      <c r="AZ206" t="inlineStr">
        <is>
          <t>BOOK</t>
        </is>
      </c>
      <c r="BB206" t="inlineStr">
        <is>
          <t>9780871013743</t>
        </is>
      </c>
      <c r="BC206" t="inlineStr">
        <is>
          <t>32285005464853</t>
        </is>
      </c>
      <c r="BD206" t="inlineStr">
        <is>
          <t>893520737</t>
        </is>
      </c>
    </row>
    <row r="207">
      <c r="A207" t="inlineStr">
        <is>
          <t>No</t>
        </is>
      </c>
      <c r="B207" t="inlineStr">
        <is>
          <t>HV40 .G98 2006</t>
        </is>
      </c>
      <c r="C207" t="inlineStr">
        <is>
          <t>0                      HV 0040000G  98          2006</t>
        </is>
      </c>
      <c r="D207" t="inlineStr">
        <is>
          <t>Ethics in social work : a context of caring / David Guttmann.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Guttmann, David.</t>
        </is>
      </c>
      <c r="L207" t="inlineStr">
        <is>
          <t>New York : Haworth Press, c2006.</t>
        </is>
      </c>
      <c r="M207" t="inlineStr">
        <is>
          <t>2006</t>
        </is>
      </c>
      <c r="O207" t="inlineStr">
        <is>
          <t>eng</t>
        </is>
      </c>
      <c r="P207" t="inlineStr">
        <is>
          <t>nyu</t>
        </is>
      </c>
      <c r="Q207" t="inlineStr">
        <is>
          <t>Social work practice in action</t>
        </is>
      </c>
      <c r="R207" t="inlineStr">
        <is>
          <t xml:space="preserve">HV </t>
        </is>
      </c>
      <c r="S207" t="n">
        <v>1</v>
      </c>
      <c r="T207" t="n">
        <v>1</v>
      </c>
      <c r="U207" t="inlineStr">
        <is>
          <t>2006-10-10</t>
        </is>
      </c>
      <c r="V207" t="inlineStr">
        <is>
          <t>2006-10-10</t>
        </is>
      </c>
      <c r="W207" t="inlineStr">
        <is>
          <t>2006-10-10</t>
        </is>
      </c>
      <c r="X207" t="inlineStr">
        <is>
          <t>2006-10-10</t>
        </is>
      </c>
      <c r="Y207" t="n">
        <v>328</v>
      </c>
      <c r="Z207" t="n">
        <v>245</v>
      </c>
      <c r="AA207" t="n">
        <v>476</v>
      </c>
      <c r="AB207" t="n">
        <v>2</v>
      </c>
      <c r="AC207" t="n">
        <v>4</v>
      </c>
      <c r="AD207" t="n">
        <v>9</v>
      </c>
      <c r="AE207" t="n">
        <v>20</v>
      </c>
      <c r="AF207" t="n">
        <v>1</v>
      </c>
      <c r="AG207" t="n">
        <v>8</v>
      </c>
      <c r="AH207" t="n">
        <v>4</v>
      </c>
      <c r="AI207" t="n">
        <v>5</v>
      </c>
      <c r="AJ207" t="n">
        <v>5</v>
      </c>
      <c r="AK207" t="n">
        <v>7</v>
      </c>
      <c r="AL207" t="n">
        <v>1</v>
      </c>
      <c r="AM207" t="n">
        <v>3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HYPERLINK("http://catalog.hathitrust.org/Record/005291008","HathiTrust Record")</f>
        <v/>
      </c>
      <c r="AS207">
        <f>HYPERLINK("https://creighton-primo.hosted.exlibrisgroup.com/primo-explore/search?tab=default_tab&amp;search_scope=EVERYTHING&amp;vid=01CRU&amp;lang=en_US&amp;offset=0&amp;query=any,contains,991004924239702656","Catalog Record")</f>
        <v/>
      </c>
      <c r="AT207">
        <f>HYPERLINK("http://www.worldcat.org/oclc/61879719","WorldCat Record")</f>
        <v/>
      </c>
      <c r="AU207" t="inlineStr">
        <is>
          <t>357864514:eng</t>
        </is>
      </c>
      <c r="AV207" t="inlineStr">
        <is>
          <t>61879719</t>
        </is>
      </c>
      <c r="AW207" t="inlineStr">
        <is>
          <t>991004924239702656</t>
        </is>
      </c>
      <c r="AX207" t="inlineStr">
        <is>
          <t>991004924239702656</t>
        </is>
      </c>
      <c r="AY207" t="inlineStr">
        <is>
          <t>2256595340002656</t>
        </is>
      </c>
      <c r="AZ207" t="inlineStr">
        <is>
          <t>BOOK</t>
        </is>
      </c>
      <c r="BB207" t="inlineStr">
        <is>
          <t>9780789028525</t>
        </is>
      </c>
      <c r="BC207" t="inlineStr">
        <is>
          <t>32285005228233</t>
        </is>
      </c>
      <c r="BD207" t="inlineStr">
        <is>
          <t>893789240</t>
        </is>
      </c>
    </row>
    <row r="208">
      <c r="A208" t="inlineStr">
        <is>
          <t>No</t>
        </is>
      </c>
      <c r="B208" t="inlineStr">
        <is>
          <t>HV40 .R68 1967</t>
        </is>
      </c>
      <c r="C208" t="inlineStr">
        <is>
          <t>0                      HV 0040000R  68          1967</t>
        </is>
      </c>
      <c r="D208" t="inlineStr">
        <is>
          <t>Community organization; theory, principles, and practice [by] Murray G. Ross with B. W. Lappin.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Ross, Murray G.</t>
        </is>
      </c>
      <c r="L208" t="inlineStr">
        <is>
          <t>New York, Harper &amp; Row [1967]</t>
        </is>
      </c>
      <c r="M208" t="inlineStr">
        <is>
          <t>1967</t>
        </is>
      </c>
      <c r="N208" t="inlineStr">
        <is>
          <t>2d ed.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HV </t>
        </is>
      </c>
      <c r="S208" t="n">
        <v>4</v>
      </c>
      <c r="T208" t="n">
        <v>4</v>
      </c>
      <c r="U208" t="inlineStr">
        <is>
          <t>2007-04-25</t>
        </is>
      </c>
      <c r="V208" t="inlineStr">
        <is>
          <t>2007-04-25</t>
        </is>
      </c>
      <c r="W208" t="inlineStr">
        <is>
          <t>1997-08-20</t>
        </is>
      </c>
      <c r="X208" t="inlineStr">
        <is>
          <t>1997-08-20</t>
        </is>
      </c>
      <c r="Y208" t="n">
        <v>660</v>
      </c>
      <c r="Z208" t="n">
        <v>502</v>
      </c>
      <c r="AA208" t="n">
        <v>506</v>
      </c>
      <c r="AB208" t="n">
        <v>4</v>
      </c>
      <c r="AC208" t="n">
        <v>4</v>
      </c>
      <c r="AD208" t="n">
        <v>23</v>
      </c>
      <c r="AE208" t="n">
        <v>23</v>
      </c>
      <c r="AF208" t="n">
        <v>9</v>
      </c>
      <c r="AG208" t="n">
        <v>9</v>
      </c>
      <c r="AH208" t="n">
        <v>5</v>
      </c>
      <c r="AI208" t="n">
        <v>5</v>
      </c>
      <c r="AJ208" t="n">
        <v>13</v>
      </c>
      <c r="AK208" t="n">
        <v>13</v>
      </c>
      <c r="AL208" t="n">
        <v>3</v>
      </c>
      <c r="AM208" t="n">
        <v>3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HYPERLINK("http://catalog.hathitrust.org/Record/001131390","HathiTrust Record")</f>
        <v/>
      </c>
      <c r="AS208">
        <f>HYPERLINK("https://creighton-primo.hosted.exlibrisgroup.com/primo-explore/search?tab=default_tab&amp;search_scope=EVERYTHING&amp;vid=01CRU&amp;lang=en_US&amp;offset=0&amp;query=any,contains,991002052659702656","Catalog Record")</f>
        <v/>
      </c>
      <c r="AT208">
        <f>HYPERLINK("http://www.worldcat.org/oclc/262029","WorldCat Record")</f>
        <v/>
      </c>
      <c r="AU208" t="inlineStr">
        <is>
          <t>4536124698:eng</t>
        </is>
      </c>
      <c r="AV208" t="inlineStr">
        <is>
          <t>262029</t>
        </is>
      </c>
      <c r="AW208" t="inlineStr">
        <is>
          <t>991002052659702656</t>
        </is>
      </c>
      <c r="AX208" t="inlineStr">
        <is>
          <t>991002052659702656</t>
        </is>
      </c>
      <c r="AY208" t="inlineStr">
        <is>
          <t>2266765630002656</t>
        </is>
      </c>
      <c r="AZ208" t="inlineStr">
        <is>
          <t>BOOK</t>
        </is>
      </c>
      <c r="BC208" t="inlineStr">
        <is>
          <t>32285003149829</t>
        </is>
      </c>
      <c r="BD208" t="inlineStr">
        <is>
          <t>893684899</t>
        </is>
      </c>
    </row>
    <row r="209">
      <c r="A209" t="inlineStr">
        <is>
          <t>No</t>
        </is>
      </c>
      <c r="B209" t="inlineStr">
        <is>
          <t>HV40 .S5157 2004</t>
        </is>
      </c>
      <c r="C209" t="inlineStr">
        <is>
          <t>0                      HV 0040000S  5157        2004</t>
        </is>
      </c>
      <c r="D209" t="inlineStr">
        <is>
          <t>Respect in a world of inequality / Richard Sennett.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Sennett, Richard, 1943-</t>
        </is>
      </c>
      <c r="L209" t="inlineStr">
        <is>
          <t>New York : W.W. Norton, c2003, 2004.</t>
        </is>
      </c>
      <c r="M209" t="inlineStr">
        <is>
          <t>2004</t>
        </is>
      </c>
      <c r="N209" t="inlineStr">
        <is>
          <t>1st pbk. ed.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HV </t>
        </is>
      </c>
      <c r="S209" t="n">
        <v>4</v>
      </c>
      <c r="T209" t="n">
        <v>4</v>
      </c>
      <c r="U209" t="inlineStr">
        <is>
          <t>2008-07-23</t>
        </is>
      </c>
      <c r="V209" t="inlineStr">
        <is>
          <t>2008-07-23</t>
        </is>
      </c>
      <c r="W209" t="inlineStr">
        <is>
          <t>2004-09-29</t>
        </is>
      </c>
      <c r="X209" t="inlineStr">
        <is>
          <t>2004-09-29</t>
        </is>
      </c>
      <c r="Y209" t="n">
        <v>673</v>
      </c>
      <c r="Z209" t="n">
        <v>571</v>
      </c>
      <c r="AA209" t="n">
        <v>575</v>
      </c>
      <c r="AB209" t="n">
        <v>4</v>
      </c>
      <c r="AC209" t="n">
        <v>4</v>
      </c>
      <c r="AD209" t="n">
        <v>22</v>
      </c>
      <c r="AE209" t="n">
        <v>22</v>
      </c>
      <c r="AF209" t="n">
        <v>10</v>
      </c>
      <c r="AG209" t="n">
        <v>10</v>
      </c>
      <c r="AH209" t="n">
        <v>5</v>
      </c>
      <c r="AI209" t="n">
        <v>5</v>
      </c>
      <c r="AJ209" t="n">
        <v>11</v>
      </c>
      <c r="AK209" t="n">
        <v>11</v>
      </c>
      <c r="AL209" t="n">
        <v>3</v>
      </c>
      <c r="AM209" t="n">
        <v>3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HYPERLINK("https://creighton-primo.hosted.exlibrisgroup.com/primo-explore/search?tab=default_tab&amp;search_scope=EVERYTHING&amp;vid=01CRU&amp;lang=en_US&amp;offset=0&amp;query=any,contains,991004364199702656","Catalog Record")</f>
        <v/>
      </c>
      <c r="AT209">
        <f>HYPERLINK("http://www.worldcat.org/oclc/50447793","WorldCat Record")</f>
        <v/>
      </c>
      <c r="AU209" t="inlineStr">
        <is>
          <t>3002986590:eng</t>
        </is>
      </c>
      <c r="AV209" t="inlineStr">
        <is>
          <t>50447793</t>
        </is>
      </c>
      <c r="AW209" t="inlineStr">
        <is>
          <t>991004364199702656</t>
        </is>
      </c>
      <c r="AX209" t="inlineStr">
        <is>
          <t>991004364199702656</t>
        </is>
      </c>
      <c r="AY209" t="inlineStr">
        <is>
          <t>2256577130002656</t>
        </is>
      </c>
      <c r="AZ209" t="inlineStr">
        <is>
          <t>BOOK</t>
        </is>
      </c>
      <c r="BB209" t="inlineStr">
        <is>
          <t>9780393325379</t>
        </is>
      </c>
      <c r="BC209" t="inlineStr">
        <is>
          <t>32285004989652</t>
        </is>
      </c>
      <c r="BD209" t="inlineStr">
        <is>
          <t>893718816</t>
        </is>
      </c>
    </row>
    <row r="210">
      <c r="A210" t="inlineStr">
        <is>
          <t>No</t>
        </is>
      </c>
      <c r="B210" t="inlineStr">
        <is>
          <t>HV40.32.A33 D56 1999</t>
        </is>
      </c>
      <c r="C210" t="inlineStr">
        <is>
          <t>0                      HV 0040320A  33                 D  56          1999</t>
        </is>
      </c>
      <c r="D210" t="inlineStr">
        <is>
          <t>A useful woman : the early life of Jane Addams / Gioia Diliberto.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Diliberto, Gioia, 1950-</t>
        </is>
      </c>
      <c r="L210" t="inlineStr">
        <is>
          <t>New York : Scribner, c1999.</t>
        </is>
      </c>
      <c r="M210" t="inlineStr">
        <is>
          <t>1999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HV </t>
        </is>
      </c>
      <c r="S210" t="n">
        <v>3</v>
      </c>
      <c r="T210" t="n">
        <v>3</v>
      </c>
      <c r="U210" t="inlineStr">
        <is>
          <t>2009-02-04</t>
        </is>
      </c>
      <c r="V210" t="inlineStr">
        <is>
          <t>2009-02-04</t>
        </is>
      </c>
      <c r="W210" t="inlineStr">
        <is>
          <t>1999-10-13</t>
        </is>
      </c>
      <c r="X210" t="inlineStr">
        <is>
          <t>1999-10-13</t>
        </is>
      </c>
      <c r="Y210" t="n">
        <v>955</v>
      </c>
      <c r="Z210" t="n">
        <v>917</v>
      </c>
      <c r="AA210" t="n">
        <v>922</v>
      </c>
      <c r="AB210" t="n">
        <v>8</v>
      </c>
      <c r="AC210" t="n">
        <v>8</v>
      </c>
      <c r="AD210" t="n">
        <v>28</v>
      </c>
      <c r="AE210" t="n">
        <v>28</v>
      </c>
      <c r="AF210" t="n">
        <v>13</v>
      </c>
      <c r="AG210" t="n">
        <v>13</v>
      </c>
      <c r="AH210" t="n">
        <v>8</v>
      </c>
      <c r="AI210" t="n">
        <v>8</v>
      </c>
      <c r="AJ210" t="n">
        <v>13</v>
      </c>
      <c r="AK210" t="n">
        <v>13</v>
      </c>
      <c r="AL210" t="n">
        <v>5</v>
      </c>
      <c r="AM210" t="n">
        <v>5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HYPERLINK("http://catalog.hathitrust.org/Record/004037532","HathiTrust Record")</f>
        <v/>
      </c>
      <c r="AS210">
        <f>HYPERLINK("https://creighton-primo.hosted.exlibrisgroup.com/primo-explore/search?tab=default_tab&amp;search_scope=EVERYTHING&amp;vid=01CRU&amp;lang=en_US&amp;offset=0&amp;query=any,contains,991002982539702656","Catalog Record")</f>
        <v/>
      </c>
      <c r="AT210">
        <f>HYPERLINK("http://www.worldcat.org/oclc/40150519","WorldCat Record")</f>
        <v/>
      </c>
      <c r="AU210" t="inlineStr">
        <is>
          <t>367752549:eng</t>
        </is>
      </c>
      <c r="AV210" t="inlineStr">
        <is>
          <t>40150519</t>
        </is>
      </c>
      <c r="AW210" t="inlineStr">
        <is>
          <t>991002982539702656</t>
        </is>
      </c>
      <c r="AX210" t="inlineStr">
        <is>
          <t>991002982539702656</t>
        </is>
      </c>
      <c r="AY210" t="inlineStr">
        <is>
          <t>2256761410002656</t>
        </is>
      </c>
      <c r="AZ210" t="inlineStr">
        <is>
          <t>BOOK</t>
        </is>
      </c>
      <c r="BB210" t="inlineStr">
        <is>
          <t>9780684853659</t>
        </is>
      </c>
      <c r="BC210" t="inlineStr">
        <is>
          <t>32285003610390</t>
        </is>
      </c>
      <c r="BD210" t="inlineStr">
        <is>
          <t>893893242</t>
        </is>
      </c>
    </row>
    <row r="211">
      <c r="A211" t="inlineStr">
        <is>
          <t>No</t>
        </is>
      </c>
      <c r="B211" t="inlineStr">
        <is>
          <t>HV40.32.R55 A36 2004</t>
        </is>
      </c>
      <c r="C211" t="inlineStr">
        <is>
          <t>0                      HV 0040320R  55                 A  36          2004</t>
        </is>
      </c>
      <c r="D211" t="inlineStr">
        <is>
          <t>From charity to social work : Mary E. Richmond and the creation of an American profession / Elizabeth N. Agnew.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Agnew, Elizabeth N.</t>
        </is>
      </c>
      <c r="L211" t="inlineStr">
        <is>
          <t>Urbana, [Ill.] : University of Illinois Press, c2004.</t>
        </is>
      </c>
      <c r="M211" t="inlineStr">
        <is>
          <t>2004</t>
        </is>
      </c>
      <c r="O211" t="inlineStr">
        <is>
          <t>eng</t>
        </is>
      </c>
      <c r="P211" t="inlineStr">
        <is>
          <t>ilu</t>
        </is>
      </c>
      <c r="R211" t="inlineStr">
        <is>
          <t xml:space="preserve">HV </t>
        </is>
      </c>
      <c r="S211" t="n">
        <v>1</v>
      </c>
      <c r="T211" t="n">
        <v>1</v>
      </c>
      <c r="U211" t="inlineStr">
        <is>
          <t>2004-03-29</t>
        </is>
      </c>
      <c r="V211" t="inlineStr">
        <is>
          <t>2004-03-29</t>
        </is>
      </c>
      <c r="W211" t="inlineStr">
        <is>
          <t>2004-03-29</t>
        </is>
      </c>
      <c r="X211" t="inlineStr">
        <is>
          <t>2004-03-29</t>
        </is>
      </c>
      <c r="Y211" t="n">
        <v>596</v>
      </c>
      <c r="Z211" t="n">
        <v>539</v>
      </c>
      <c r="AA211" t="n">
        <v>539</v>
      </c>
      <c r="AB211" t="n">
        <v>6</v>
      </c>
      <c r="AC211" t="n">
        <v>6</v>
      </c>
      <c r="AD211" t="n">
        <v>26</v>
      </c>
      <c r="AE211" t="n">
        <v>26</v>
      </c>
      <c r="AF211" t="n">
        <v>11</v>
      </c>
      <c r="AG211" t="n">
        <v>11</v>
      </c>
      <c r="AH211" t="n">
        <v>5</v>
      </c>
      <c r="AI211" t="n">
        <v>5</v>
      </c>
      <c r="AJ211" t="n">
        <v>12</v>
      </c>
      <c r="AK211" t="n">
        <v>12</v>
      </c>
      <c r="AL211" t="n">
        <v>5</v>
      </c>
      <c r="AM211" t="n">
        <v>5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HYPERLINK("https://creighton-primo.hosted.exlibrisgroup.com/primo-explore/search?tab=default_tab&amp;search_scope=EVERYTHING&amp;vid=01CRU&amp;lang=en_US&amp;offset=0&amp;query=any,contains,991004250879702656","Catalog Record")</f>
        <v/>
      </c>
      <c r="AT211">
        <f>HYPERLINK("http://www.worldcat.org/oclc/51848398","WorldCat Record")</f>
        <v/>
      </c>
      <c r="AU211" t="inlineStr">
        <is>
          <t>837877453:eng</t>
        </is>
      </c>
      <c r="AV211" t="inlineStr">
        <is>
          <t>51848398</t>
        </is>
      </c>
      <c r="AW211" t="inlineStr">
        <is>
          <t>991004250879702656</t>
        </is>
      </c>
      <c r="AX211" t="inlineStr">
        <is>
          <t>991004250879702656</t>
        </is>
      </c>
      <c r="AY211" t="inlineStr">
        <is>
          <t>2257464460002656</t>
        </is>
      </c>
      <c r="AZ211" t="inlineStr">
        <is>
          <t>BOOK</t>
        </is>
      </c>
      <c r="BB211" t="inlineStr">
        <is>
          <t>9780252028755</t>
        </is>
      </c>
      <c r="BC211" t="inlineStr">
        <is>
          <t>32285004897889</t>
        </is>
      </c>
      <c r="BD211" t="inlineStr">
        <is>
          <t>893442391</t>
        </is>
      </c>
    </row>
    <row r="212">
      <c r="A212" t="inlineStr">
        <is>
          <t>No</t>
        </is>
      </c>
      <c r="B212" t="inlineStr">
        <is>
          <t>HV40.8.U6 G529 1997</t>
        </is>
      </c>
      <c r="C212" t="inlineStr">
        <is>
          <t>0                      HV 0040800U  6                  G  529         1997</t>
        </is>
      </c>
      <c r="D212" t="inlineStr">
        <is>
          <t>Who we are : a second look / Margaret Gibelman, Philip H. Schervish.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Gibelman, Margaret.</t>
        </is>
      </c>
      <c r="L212" t="inlineStr">
        <is>
          <t>Washington, DC : NASW Press, c1997.</t>
        </is>
      </c>
      <c r="M212" t="inlineStr">
        <is>
          <t>1997</t>
        </is>
      </c>
      <c r="O212" t="inlineStr">
        <is>
          <t>eng</t>
        </is>
      </c>
      <c r="P212" t="inlineStr">
        <is>
          <t>dcu</t>
        </is>
      </c>
      <c r="R212" t="inlineStr">
        <is>
          <t xml:space="preserve">HV </t>
        </is>
      </c>
      <c r="S212" t="n">
        <v>9</v>
      </c>
      <c r="T212" t="n">
        <v>9</v>
      </c>
      <c r="U212" t="inlineStr">
        <is>
          <t>2000-03-28</t>
        </is>
      </c>
      <c r="V212" t="inlineStr">
        <is>
          <t>2000-03-28</t>
        </is>
      </c>
      <c r="W212" t="inlineStr">
        <is>
          <t>1997-03-05</t>
        </is>
      </c>
      <c r="X212" t="inlineStr">
        <is>
          <t>1997-03-05</t>
        </is>
      </c>
      <c r="Y212" t="n">
        <v>254</v>
      </c>
      <c r="Z212" t="n">
        <v>240</v>
      </c>
      <c r="AA212" t="n">
        <v>243</v>
      </c>
      <c r="AB212" t="n">
        <v>5</v>
      </c>
      <c r="AC212" t="n">
        <v>5</v>
      </c>
      <c r="AD212" t="n">
        <v>14</v>
      </c>
      <c r="AE212" t="n">
        <v>14</v>
      </c>
      <c r="AF212" t="n">
        <v>2</v>
      </c>
      <c r="AG212" t="n">
        <v>2</v>
      </c>
      <c r="AH212" t="n">
        <v>5</v>
      </c>
      <c r="AI212" t="n">
        <v>5</v>
      </c>
      <c r="AJ212" t="n">
        <v>6</v>
      </c>
      <c r="AK212" t="n">
        <v>6</v>
      </c>
      <c r="AL212" t="n">
        <v>4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HYPERLINK("http://catalog.hathitrust.org/Record/003118534","HathiTrust Record")</f>
        <v/>
      </c>
      <c r="AS212">
        <f>HYPERLINK("https://creighton-primo.hosted.exlibrisgroup.com/primo-explore/search?tab=default_tab&amp;search_scope=EVERYTHING&amp;vid=01CRU&amp;lang=en_US&amp;offset=0&amp;query=any,contains,991002726409702656","Catalog Record")</f>
        <v/>
      </c>
      <c r="AT212">
        <f>HYPERLINK("http://www.worldcat.org/oclc/35762621","WorldCat Record")</f>
        <v/>
      </c>
      <c r="AU212" t="inlineStr">
        <is>
          <t>40432768:eng</t>
        </is>
      </c>
      <c r="AV212" t="inlineStr">
        <is>
          <t>35762621</t>
        </is>
      </c>
      <c r="AW212" t="inlineStr">
        <is>
          <t>991002726409702656</t>
        </is>
      </c>
      <c r="AX212" t="inlineStr">
        <is>
          <t>991002726409702656</t>
        </is>
      </c>
      <c r="AY212" t="inlineStr">
        <is>
          <t>2264985150002656</t>
        </is>
      </c>
      <c r="AZ212" t="inlineStr">
        <is>
          <t>BOOK</t>
        </is>
      </c>
      <c r="BB212" t="inlineStr">
        <is>
          <t>9780871012616</t>
        </is>
      </c>
      <c r="BC212" t="inlineStr">
        <is>
          <t>32285002433521</t>
        </is>
      </c>
      <c r="BD212" t="inlineStr">
        <is>
          <t>893239418</t>
        </is>
      </c>
    </row>
    <row r="213">
      <c r="A213" t="inlineStr">
        <is>
          <t>No</t>
        </is>
      </c>
      <c r="B213" t="inlineStr">
        <is>
          <t>HV4010 .D45 2005</t>
        </is>
      </c>
      <c r="C213" t="inlineStr">
        <is>
          <t>0                      HV 4010000D  45          2005</t>
        </is>
      </c>
      <c r="D213" t="inlineStr">
        <is>
          <t>Social work practice with refugee and immigrant youth in the United States / Melvin Delgado, Kay Jones, Mojdeh Rohani.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Delgado, Melvin.</t>
        </is>
      </c>
      <c r="L213" t="inlineStr">
        <is>
          <t>Boston : Pearson/Allyn and Bacon, c2005.</t>
        </is>
      </c>
      <c r="M213" t="inlineStr">
        <is>
          <t>2005</t>
        </is>
      </c>
      <c r="O213" t="inlineStr">
        <is>
          <t>eng</t>
        </is>
      </c>
      <c r="P213" t="inlineStr">
        <is>
          <t>mau</t>
        </is>
      </c>
      <c r="R213" t="inlineStr">
        <is>
          <t xml:space="preserve">HV </t>
        </is>
      </c>
      <c r="S213" t="n">
        <v>1</v>
      </c>
      <c r="T213" t="n">
        <v>1</v>
      </c>
      <c r="U213" t="inlineStr">
        <is>
          <t>2007-02-12</t>
        </is>
      </c>
      <c r="V213" t="inlineStr">
        <is>
          <t>2007-02-12</t>
        </is>
      </c>
      <c r="W213" t="inlineStr">
        <is>
          <t>2007-02-12</t>
        </is>
      </c>
      <c r="X213" t="inlineStr">
        <is>
          <t>2007-02-12</t>
        </is>
      </c>
      <c r="Y213" t="n">
        <v>174</v>
      </c>
      <c r="Z213" t="n">
        <v>148</v>
      </c>
      <c r="AA213" t="n">
        <v>148</v>
      </c>
      <c r="AB213" t="n">
        <v>4</v>
      </c>
      <c r="AC213" t="n">
        <v>4</v>
      </c>
      <c r="AD213" t="n">
        <v>10</v>
      </c>
      <c r="AE213" t="n">
        <v>10</v>
      </c>
      <c r="AF213" t="n">
        <v>2</v>
      </c>
      <c r="AG213" t="n">
        <v>2</v>
      </c>
      <c r="AH213" t="n">
        <v>2</v>
      </c>
      <c r="AI213" t="n">
        <v>2</v>
      </c>
      <c r="AJ213" t="n">
        <v>4</v>
      </c>
      <c r="AK213" t="n">
        <v>4</v>
      </c>
      <c r="AL213" t="n">
        <v>3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HYPERLINK("https://creighton-primo.hosted.exlibrisgroup.com/primo-explore/search?tab=default_tab&amp;search_scope=EVERYTHING&amp;vid=01CRU&amp;lang=en_US&amp;offset=0&amp;query=any,contains,991005035799702656","Catalog Record")</f>
        <v/>
      </c>
      <c r="AT213">
        <f>HYPERLINK("http://www.worldcat.org/oclc/55228903","WorldCat Record")</f>
        <v/>
      </c>
      <c r="AU213" t="inlineStr">
        <is>
          <t>2533363781:eng</t>
        </is>
      </c>
      <c r="AV213" t="inlineStr">
        <is>
          <t>55228903</t>
        </is>
      </c>
      <c r="AW213" t="inlineStr">
        <is>
          <t>991005035799702656</t>
        </is>
      </c>
      <c r="AX213" t="inlineStr">
        <is>
          <t>991005035799702656</t>
        </is>
      </c>
      <c r="AY213" t="inlineStr">
        <is>
          <t>2270406850002656</t>
        </is>
      </c>
      <c r="AZ213" t="inlineStr">
        <is>
          <t>BOOK</t>
        </is>
      </c>
      <c r="BB213" t="inlineStr">
        <is>
          <t>9780205398836</t>
        </is>
      </c>
      <c r="BC213" t="inlineStr">
        <is>
          <t>32285005276117</t>
        </is>
      </c>
      <c r="BD213" t="inlineStr">
        <is>
          <t>893782932</t>
        </is>
      </c>
    </row>
    <row r="214">
      <c r="A214" t="inlineStr">
        <is>
          <t>No</t>
        </is>
      </c>
      <c r="B214" t="inlineStr">
        <is>
          <t>HV4010 .P67 2002</t>
        </is>
      </c>
      <c r="C214" t="inlineStr">
        <is>
          <t>0                      HV 4010000P  67          2002</t>
        </is>
      </c>
      <c r="D214" t="inlineStr">
        <is>
          <t>Best practices for social work with refugees and immigrants / Miriam Potocky-Tripodi.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Potocky-Tripodi, Miriam.</t>
        </is>
      </c>
      <c r="L214" t="inlineStr">
        <is>
          <t>New York : Columbia University Press, c2002.</t>
        </is>
      </c>
      <c r="M214" t="inlineStr">
        <is>
          <t>2002</t>
        </is>
      </c>
      <c r="O214" t="inlineStr">
        <is>
          <t>eng</t>
        </is>
      </c>
      <c r="P214" t="inlineStr">
        <is>
          <t>nyu</t>
        </is>
      </c>
      <c r="R214" t="inlineStr">
        <is>
          <t xml:space="preserve">HV </t>
        </is>
      </c>
      <c r="S214" t="n">
        <v>3</v>
      </c>
      <c r="T214" t="n">
        <v>3</v>
      </c>
      <c r="U214" t="inlineStr">
        <is>
          <t>2009-05-22</t>
        </is>
      </c>
      <c r="V214" t="inlineStr">
        <is>
          <t>2009-05-22</t>
        </is>
      </c>
      <c r="W214" t="inlineStr">
        <is>
          <t>2006-02-15</t>
        </is>
      </c>
      <c r="X214" t="inlineStr">
        <is>
          <t>2006-02-15</t>
        </is>
      </c>
      <c r="Y214" t="n">
        <v>414</v>
      </c>
      <c r="Z214" t="n">
        <v>329</v>
      </c>
      <c r="AA214" t="n">
        <v>1043</v>
      </c>
      <c r="AB214" t="n">
        <v>3</v>
      </c>
      <c r="AC214" t="n">
        <v>27</v>
      </c>
      <c r="AD214" t="n">
        <v>17</v>
      </c>
      <c r="AE214" t="n">
        <v>46</v>
      </c>
      <c r="AF214" t="n">
        <v>4</v>
      </c>
      <c r="AG214" t="n">
        <v>14</v>
      </c>
      <c r="AH214" t="n">
        <v>5</v>
      </c>
      <c r="AI214" t="n">
        <v>8</v>
      </c>
      <c r="AJ214" t="n">
        <v>9</v>
      </c>
      <c r="AK214" t="n">
        <v>16</v>
      </c>
      <c r="AL214" t="n">
        <v>2</v>
      </c>
      <c r="AM214" t="n">
        <v>12</v>
      </c>
      <c r="AN214" t="n">
        <v>0</v>
      </c>
      <c r="AO214" t="n">
        <v>2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HYPERLINK("https://creighton-primo.hosted.exlibrisgroup.com/primo-explore/search?tab=default_tab&amp;search_scope=EVERYTHING&amp;vid=01CRU&amp;lang=en_US&amp;offset=0&amp;query=any,contains,991004744219702656","Catalog Record")</f>
        <v/>
      </c>
      <c r="AT214">
        <f>HYPERLINK("http://www.worldcat.org/oclc/48493902","WorldCat Record")</f>
        <v/>
      </c>
      <c r="AU214" t="inlineStr">
        <is>
          <t>1063518:eng</t>
        </is>
      </c>
      <c r="AV214" t="inlineStr">
        <is>
          <t>48493902</t>
        </is>
      </c>
      <c r="AW214" t="inlineStr">
        <is>
          <t>991004744219702656</t>
        </is>
      </c>
      <c r="AX214" t="inlineStr">
        <is>
          <t>991004744219702656</t>
        </is>
      </c>
      <c r="AY214" t="inlineStr">
        <is>
          <t>2255389000002656</t>
        </is>
      </c>
      <c r="AZ214" t="inlineStr">
        <is>
          <t>BOOK</t>
        </is>
      </c>
      <c r="BB214" t="inlineStr">
        <is>
          <t>9780231115827</t>
        </is>
      </c>
      <c r="BC214" t="inlineStr">
        <is>
          <t>32285005160584</t>
        </is>
      </c>
      <c r="BD214" t="inlineStr">
        <is>
          <t>893594043</t>
        </is>
      </c>
    </row>
    <row r="215">
      <c r="A215" t="inlineStr">
        <is>
          <t>No</t>
        </is>
      </c>
      <c r="B215" t="inlineStr">
        <is>
          <t>HV4010 .S63 1992</t>
        </is>
      </c>
      <c r="C215" t="inlineStr">
        <is>
          <t>0                      HV 4010000S  63          1992</t>
        </is>
      </c>
      <c r="D215" t="inlineStr">
        <is>
          <t>Social work with immigrants and refugees / Angela Shen Ryan, editor.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New York : Haworth Press, c1992.</t>
        </is>
      </c>
      <c r="M215" t="inlineStr">
        <is>
          <t>1992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HV </t>
        </is>
      </c>
      <c r="S215" t="n">
        <v>6</v>
      </c>
      <c r="T215" t="n">
        <v>6</v>
      </c>
      <c r="U215" t="inlineStr">
        <is>
          <t>2004-09-21</t>
        </is>
      </c>
      <c r="V215" t="inlineStr">
        <is>
          <t>2004-09-21</t>
        </is>
      </c>
      <c r="W215" t="inlineStr">
        <is>
          <t>1993-09-28</t>
        </is>
      </c>
      <c r="X215" t="inlineStr">
        <is>
          <t>1993-09-28</t>
        </is>
      </c>
      <c r="Y215" t="n">
        <v>187</v>
      </c>
      <c r="Z215" t="n">
        <v>149</v>
      </c>
      <c r="AA215" t="n">
        <v>157</v>
      </c>
      <c r="AB215" t="n">
        <v>4</v>
      </c>
      <c r="AC215" t="n">
        <v>4</v>
      </c>
      <c r="AD215" t="n">
        <v>11</v>
      </c>
      <c r="AE215" t="n">
        <v>11</v>
      </c>
      <c r="AF215" t="n">
        <v>4</v>
      </c>
      <c r="AG215" t="n">
        <v>4</v>
      </c>
      <c r="AH215" t="n">
        <v>2</v>
      </c>
      <c r="AI215" t="n">
        <v>2</v>
      </c>
      <c r="AJ215" t="n">
        <v>3</v>
      </c>
      <c r="AK215" t="n">
        <v>3</v>
      </c>
      <c r="AL215" t="n">
        <v>3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HYPERLINK("http://catalog.hathitrust.org/Record/002780035","HathiTrust Record")</f>
        <v/>
      </c>
      <c r="AS215">
        <f>HYPERLINK("https://creighton-primo.hosted.exlibrisgroup.com/primo-explore/search?tab=default_tab&amp;search_scope=EVERYTHING&amp;vid=01CRU&amp;lang=en_US&amp;offset=0&amp;query=any,contains,991002072359702656","Catalog Record")</f>
        <v/>
      </c>
      <c r="AT215">
        <f>HYPERLINK("http://www.worldcat.org/oclc/26547714","WorldCat Record")</f>
        <v/>
      </c>
      <c r="AU215" t="inlineStr">
        <is>
          <t>29354977:eng</t>
        </is>
      </c>
      <c r="AV215" t="inlineStr">
        <is>
          <t>26547714</t>
        </is>
      </c>
      <c r="AW215" t="inlineStr">
        <is>
          <t>991002072359702656</t>
        </is>
      </c>
      <c r="AX215" t="inlineStr">
        <is>
          <t>991002072359702656</t>
        </is>
      </c>
      <c r="AY215" t="inlineStr">
        <is>
          <t>2260284440002656</t>
        </is>
      </c>
      <c r="AZ215" t="inlineStr">
        <is>
          <t>BOOK</t>
        </is>
      </c>
      <c r="BB215" t="inlineStr">
        <is>
          <t>9781560243540</t>
        </is>
      </c>
      <c r="BC215" t="inlineStr">
        <is>
          <t>32285001768745</t>
        </is>
      </c>
      <c r="BD215" t="inlineStr">
        <is>
          <t>893414782</t>
        </is>
      </c>
    </row>
    <row r="216">
      <c r="A216" t="inlineStr">
        <is>
          <t>No</t>
        </is>
      </c>
      <c r="B216" t="inlineStr">
        <is>
          <t>HV4028 .P88 2003</t>
        </is>
      </c>
      <c r="C216" t="inlineStr">
        <is>
          <t>0                      HV 4028000P  88          2003</t>
        </is>
      </c>
      <c r="D216" t="inlineStr">
        <is>
          <t>Poverty and democracy : self-help and political participation in Third World cities / edited by Dirk Berg-Schlosser and Norbert Kersting.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L216" t="inlineStr">
        <is>
          <t>London ; New York : Zed Books ; New York : Distributed exclusively in the USA by Palgrave, 2003.</t>
        </is>
      </c>
      <c r="M216" t="inlineStr">
        <is>
          <t>2003</t>
        </is>
      </c>
      <c r="O216" t="inlineStr">
        <is>
          <t>eng</t>
        </is>
      </c>
      <c r="P216" t="inlineStr">
        <is>
          <t>enk</t>
        </is>
      </c>
      <c r="R216" t="inlineStr">
        <is>
          <t xml:space="preserve">HV </t>
        </is>
      </c>
      <c r="S216" t="n">
        <v>1</v>
      </c>
      <c r="T216" t="n">
        <v>1</v>
      </c>
      <c r="U216" t="inlineStr">
        <is>
          <t>2004-10-26</t>
        </is>
      </c>
      <c r="V216" t="inlineStr">
        <is>
          <t>2004-10-26</t>
        </is>
      </c>
      <c r="W216" t="inlineStr">
        <is>
          <t>2004-10-26</t>
        </is>
      </c>
      <c r="X216" t="inlineStr">
        <is>
          <t>2004-10-26</t>
        </is>
      </c>
      <c r="Y216" t="n">
        <v>281</v>
      </c>
      <c r="Z216" t="n">
        <v>198</v>
      </c>
      <c r="AA216" t="n">
        <v>216</v>
      </c>
      <c r="AB216" t="n">
        <v>2</v>
      </c>
      <c r="AC216" t="n">
        <v>2</v>
      </c>
      <c r="AD216" t="n">
        <v>14</v>
      </c>
      <c r="AE216" t="n">
        <v>14</v>
      </c>
      <c r="AF216" t="n">
        <v>6</v>
      </c>
      <c r="AG216" t="n">
        <v>6</v>
      </c>
      <c r="AH216" t="n">
        <v>3</v>
      </c>
      <c r="AI216" t="n">
        <v>3</v>
      </c>
      <c r="AJ216" t="n">
        <v>9</v>
      </c>
      <c r="AK216" t="n">
        <v>9</v>
      </c>
      <c r="AL216" t="n">
        <v>1</v>
      </c>
      <c r="AM216" t="n">
        <v>1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HYPERLINK("https://creighton-primo.hosted.exlibrisgroup.com/primo-explore/search?tab=default_tab&amp;search_scope=EVERYTHING&amp;vid=01CRU&amp;lang=en_US&amp;offset=0&amp;query=any,contains,991004368529702656","Catalog Record")</f>
        <v/>
      </c>
      <c r="AT216">
        <f>HYPERLINK("http://www.worldcat.org/oclc/50164717","WorldCat Record")</f>
        <v/>
      </c>
      <c r="AU216" t="inlineStr">
        <is>
          <t>866309366:eng</t>
        </is>
      </c>
      <c r="AV216" t="inlineStr">
        <is>
          <t>50164717</t>
        </is>
      </c>
      <c r="AW216" t="inlineStr">
        <is>
          <t>991004368529702656</t>
        </is>
      </c>
      <c r="AX216" t="inlineStr">
        <is>
          <t>991004368529702656</t>
        </is>
      </c>
      <c r="AY216" t="inlineStr">
        <is>
          <t>2270274050002656</t>
        </is>
      </c>
      <c r="AZ216" t="inlineStr">
        <is>
          <t>BOOK</t>
        </is>
      </c>
      <c r="BB216" t="inlineStr">
        <is>
          <t>9781842772041</t>
        </is>
      </c>
      <c r="BC216" t="inlineStr">
        <is>
          <t>32285005006571</t>
        </is>
      </c>
      <c r="BD216" t="inlineStr">
        <is>
          <t>893229278</t>
        </is>
      </c>
    </row>
    <row r="217">
      <c r="A217" t="inlineStr">
        <is>
          <t>No</t>
        </is>
      </c>
      <c r="B217" t="inlineStr">
        <is>
          <t>HV4044 .W37 1989</t>
        </is>
      </c>
      <c r="C217" t="inlineStr">
        <is>
          <t>0                      HV 4044000W  37          1989</t>
        </is>
      </c>
      <c r="D217" t="inlineStr">
        <is>
          <t>Poverty, ethnicity, and the American city, 1840-1925 : changing conceptions of the slum and the ghetto / David Ward.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Ward, David, 1938-</t>
        </is>
      </c>
      <c r="L217" t="inlineStr">
        <is>
          <t>Cambridge : Cambridge University Press, 1989.</t>
        </is>
      </c>
      <c r="M217" t="inlineStr">
        <is>
          <t>1989</t>
        </is>
      </c>
      <c r="O217" t="inlineStr">
        <is>
          <t>eng</t>
        </is>
      </c>
      <c r="P217" t="inlineStr">
        <is>
          <t>enk</t>
        </is>
      </c>
      <c r="Q217" t="inlineStr">
        <is>
          <t>Cambridge studies in historical geography ; 13</t>
        </is>
      </c>
      <c r="R217" t="inlineStr">
        <is>
          <t xml:space="preserve">HV </t>
        </is>
      </c>
      <c r="S217" t="n">
        <v>9</v>
      </c>
      <c r="T217" t="n">
        <v>9</v>
      </c>
      <c r="U217" t="inlineStr">
        <is>
          <t>2003-04-30</t>
        </is>
      </c>
      <c r="V217" t="inlineStr">
        <is>
          <t>2003-04-30</t>
        </is>
      </c>
      <c r="W217" t="inlineStr">
        <is>
          <t>1992-07-01</t>
        </is>
      </c>
      <c r="X217" t="inlineStr">
        <is>
          <t>1992-07-01</t>
        </is>
      </c>
      <c r="Y217" t="n">
        <v>747</v>
      </c>
      <c r="Z217" t="n">
        <v>589</v>
      </c>
      <c r="AA217" t="n">
        <v>594</v>
      </c>
      <c r="AB217" t="n">
        <v>4</v>
      </c>
      <c r="AC217" t="n">
        <v>4</v>
      </c>
      <c r="AD217" t="n">
        <v>28</v>
      </c>
      <c r="AE217" t="n">
        <v>28</v>
      </c>
      <c r="AF217" t="n">
        <v>10</v>
      </c>
      <c r="AG217" t="n">
        <v>10</v>
      </c>
      <c r="AH217" t="n">
        <v>8</v>
      </c>
      <c r="AI217" t="n">
        <v>8</v>
      </c>
      <c r="AJ217" t="n">
        <v>16</v>
      </c>
      <c r="AK217" t="n">
        <v>16</v>
      </c>
      <c r="AL217" t="n">
        <v>3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HYPERLINK("https://creighton-primo.hosted.exlibrisgroup.com/primo-explore/search?tab=default_tab&amp;search_scope=EVERYTHING&amp;vid=01CRU&amp;lang=en_US&amp;offset=0&amp;query=any,contains,991001389119702656","Catalog Record")</f>
        <v/>
      </c>
      <c r="AT217">
        <f>HYPERLINK("http://www.worldcat.org/oclc/19640851","WorldCat Record")</f>
        <v/>
      </c>
      <c r="AU217" t="inlineStr">
        <is>
          <t>807782095:eng</t>
        </is>
      </c>
      <c r="AV217" t="inlineStr">
        <is>
          <t>19640851</t>
        </is>
      </c>
      <c r="AW217" t="inlineStr">
        <is>
          <t>991001389119702656</t>
        </is>
      </c>
      <c r="AX217" t="inlineStr">
        <is>
          <t>991001389119702656</t>
        </is>
      </c>
      <c r="AY217" t="inlineStr">
        <is>
          <t>2259463920002656</t>
        </is>
      </c>
      <c r="AZ217" t="inlineStr">
        <is>
          <t>BOOK</t>
        </is>
      </c>
      <c r="BB217" t="inlineStr">
        <is>
          <t>9780521277112</t>
        </is>
      </c>
      <c r="BC217" t="inlineStr">
        <is>
          <t>32285001180990</t>
        </is>
      </c>
      <c r="BD217" t="inlineStr">
        <is>
          <t>893608824</t>
        </is>
      </c>
    </row>
    <row r="218">
      <c r="A218" t="inlineStr">
        <is>
          <t>No</t>
        </is>
      </c>
      <c r="B218" t="inlineStr">
        <is>
          <t>HV4045 .R38 2003</t>
        </is>
      </c>
      <c r="C218" t="inlineStr">
        <is>
          <t>0                      HV 4045000R  38          2003</t>
        </is>
      </c>
      <c r="D218" t="inlineStr">
        <is>
          <t>Rediscovering the other America : the continuing crisis of poverty and inequality in the United States / Keith M. Kilty, Elizabeth A. Segal, editors.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L218" t="inlineStr">
        <is>
          <t>New York : Haworth Press, c2003.</t>
        </is>
      </c>
      <c r="M218" t="inlineStr">
        <is>
          <t>2003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HV </t>
        </is>
      </c>
      <c r="S218" t="n">
        <v>2</v>
      </c>
      <c r="T218" t="n">
        <v>2</v>
      </c>
      <c r="U218" t="inlineStr">
        <is>
          <t>2006-11-21</t>
        </is>
      </c>
      <c r="V218" t="inlineStr">
        <is>
          <t>2006-11-21</t>
        </is>
      </c>
      <c r="W218" t="inlineStr">
        <is>
          <t>2005-05-19</t>
        </is>
      </c>
      <c r="X218" t="inlineStr">
        <is>
          <t>2005-05-19</t>
        </is>
      </c>
      <c r="Y218" t="n">
        <v>143</v>
      </c>
      <c r="Z218" t="n">
        <v>121</v>
      </c>
      <c r="AA218" t="n">
        <v>149</v>
      </c>
      <c r="AB218" t="n">
        <v>3</v>
      </c>
      <c r="AC218" t="n">
        <v>3</v>
      </c>
      <c r="AD218" t="n">
        <v>3</v>
      </c>
      <c r="AE218" t="n">
        <v>3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1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HYPERLINK("https://creighton-primo.hosted.exlibrisgroup.com/primo-explore/search?tab=default_tab&amp;search_scope=EVERYTHING&amp;vid=01CRU&amp;lang=en_US&amp;offset=0&amp;query=any,contains,991004547909702656","Catalog Record")</f>
        <v/>
      </c>
      <c r="AT218">
        <f>HYPERLINK("http://www.worldcat.org/oclc/51726837","WorldCat Record")</f>
        <v/>
      </c>
      <c r="AU218" t="inlineStr">
        <is>
          <t>837455330:eng</t>
        </is>
      </c>
      <c r="AV218" t="inlineStr">
        <is>
          <t>51726837</t>
        </is>
      </c>
      <c r="AW218" t="inlineStr">
        <is>
          <t>991004547909702656</t>
        </is>
      </c>
      <c r="AX218" t="inlineStr">
        <is>
          <t>991004547909702656</t>
        </is>
      </c>
      <c r="AY218" t="inlineStr">
        <is>
          <t>2269552120002656</t>
        </is>
      </c>
      <c r="AZ218" t="inlineStr">
        <is>
          <t>BOOK</t>
        </is>
      </c>
      <c r="BB218" t="inlineStr">
        <is>
          <t>9780789020963</t>
        </is>
      </c>
      <c r="BC218" t="inlineStr">
        <is>
          <t>32285005038855</t>
        </is>
      </c>
      <c r="BD218" t="inlineStr">
        <is>
          <t>893253815</t>
        </is>
      </c>
    </row>
    <row r="219">
      <c r="A219" t="inlineStr">
        <is>
          <t>No</t>
        </is>
      </c>
      <c r="B219" t="inlineStr">
        <is>
          <t>HV4045 .U73 1991</t>
        </is>
      </c>
      <c r="C219" t="inlineStr">
        <is>
          <t>0                      HV 4045000U  73          1991</t>
        </is>
      </c>
      <c r="D219" t="inlineStr">
        <is>
          <t>The Urban underclass / Christopher Jencks and Paul E. Peterson, editors.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Washington, D.C. : Brookings Institution, c1991.</t>
        </is>
      </c>
      <c r="M219" t="inlineStr">
        <is>
          <t>1990</t>
        </is>
      </c>
      <c r="O219" t="inlineStr">
        <is>
          <t>eng</t>
        </is>
      </c>
      <c r="P219" t="inlineStr">
        <is>
          <t>dcu</t>
        </is>
      </c>
      <c r="R219" t="inlineStr">
        <is>
          <t xml:space="preserve">HV </t>
        </is>
      </c>
      <c r="S219" t="n">
        <v>12</v>
      </c>
      <c r="T219" t="n">
        <v>12</v>
      </c>
      <c r="U219" t="inlineStr">
        <is>
          <t>2003-06-24</t>
        </is>
      </c>
      <c r="V219" t="inlineStr">
        <is>
          <t>2003-06-24</t>
        </is>
      </c>
      <c r="W219" t="inlineStr">
        <is>
          <t>1991-05-13</t>
        </is>
      </c>
      <c r="X219" t="inlineStr">
        <is>
          <t>1991-05-13</t>
        </is>
      </c>
      <c r="Y219" t="n">
        <v>1152</v>
      </c>
      <c r="Z219" t="n">
        <v>1015</v>
      </c>
      <c r="AA219" t="n">
        <v>1429</v>
      </c>
      <c r="AB219" t="n">
        <v>8</v>
      </c>
      <c r="AC219" t="n">
        <v>11</v>
      </c>
      <c r="AD219" t="n">
        <v>51</v>
      </c>
      <c r="AE219" t="n">
        <v>56</v>
      </c>
      <c r="AF219" t="n">
        <v>20</v>
      </c>
      <c r="AG219" t="n">
        <v>22</v>
      </c>
      <c r="AH219" t="n">
        <v>10</v>
      </c>
      <c r="AI219" t="n">
        <v>10</v>
      </c>
      <c r="AJ219" t="n">
        <v>22</v>
      </c>
      <c r="AK219" t="n">
        <v>22</v>
      </c>
      <c r="AL219" t="n">
        <v>7</v>
      </c>
      <c r="AM219" t="n">
        <v>10</v>
      </c>
      <c r="AN219" t="n">
        <v>5</v>
      </c>
      <c r="AO219" t="n">
        <v>5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HYPERLINK("http://catalog.hathitrust.org/Record/002448346","HathiTrust Record")</f>
        <v/>
      </c>
      <c r="AS219">
        <f>HYPERLINK("https://creighton-primo.hosted.exlibrisgroup.com/primo-explore/search?tab=default_tab&amp;search_scope=EVERYTHING&amp;vid=01CRU&amp;lang=en_US&amp;offset=0&amp;query=any,contains,991001815019702656","Catalog Record")</f>
        <v/>
      </c>
      <c r="AT219">
        <f>HYPERLINK("http://www.worldcat.org/oclc/22809295","WorldCat Record")</f>
        <v/>
      </c>
      <c r="AU219" t="inlineStr">
        <is>
          <t>349918555:eng</t>
        </is>
      </c>
      <c r="AV219" t="inlineStr">
        <is>
          <t>22809295</t>
        </is>
      </c>
      <c r="AW219" t="inlineStr">
        <is>
          <t>991001815019702656</t>
        </is>
      </c>
      <c r="AX219" t="inlineStr">
        <is>
          <t>991001815019702656</t>
        </is>
      </c>
      <c r="AY219" t="inlineStr">
        <is>
          <t>2259520840002656</t>
        </is>
      </c>
      <c r="AZ219" t="inlineStr">
        <is>
          <t>BOOK</t>
        </is>
      </c>
      <c r="BB219" t="inlineStr">
        <is>
          <t>9780815746058</t>
        </is>
      </c>
      <c r="BC219" t="inlineStr">
        <is>
          <t>32285000539097</t>
        </is>
      </c>
      <c r="BD219" t="inlineStr">
        <is>
          <t>893772926</t>
        </is>
      </c>
    </row>
    <row r="220">
      <c r="A220" t="inlineStr">
        <is>
          <t>No</t>
        </is>
      </c>
      <c r="B220" t="inlineStr">
        <is>
          <t>HV4046.N6 H66 2003</t>
        </is>
      </c>
      <c r="C220" t="inlineStr">
        <is>
          <t>0                      HV 4046000N  6                  H  66          2003</t>
        </is>
      </c>
      <c r="D220" t="inlineStr">
        <is>
          <t>Shutting out the sky : life in the tenements of New York, 1880-1924 / Deborah Hopkinson.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Hopkinson, Deborah.</t>
        </is>
      </c>
      <c r="L220" t="inlineStr">
        <is>
          <t>New York : Orchard Books, 2003.</t>
        </is>
      </c>
      <c r="M220" t="inlineStr">
        <is>
          <t>2003</t>
        </is>
      </c>
      <c r="N220" t="inlineStr">
        <is>
          <t>1st ed.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HV </t>
        </is>
      </c>
      <c r="S220" t="n">
        <v>1</v>
      </c>
      <c r="T220" t="n">
        <v>1</v>
      </c>
      <c r="U220" t="inlineStr">
        <is>
          <t>2004-04-21</t>
        </is>
      </c>
      <c r="V220" t="inlineStr">
        <is>
          <t>2004-04-21</t>
        </is>
      </c>
      <c r="W220" t="inlineStr">
        <is>
          <t>2004-04-21</t>
        </is>
      </c>
      <c r="X220" t="inlineStr">
        <is>
          <t>2004-04-21</t>
        </is>
      </c>
      <c r="Y220" t="n">
        <v>1093</v>
      </c>
      <c r="Z220" t="n">
        <v>1078</v>
      </c>
      <c r="AA220" t="n">
        <v>1091</v>
      </c>
      <c r="AB220" t="n">
        <v>11</v>
      </c>
      <c r="AC220" t="n">
        <v>11</v>
      </c>
      <c r="AD220" t="n">
        <v>17</v>
      </c>
      <c r="AE220" t="n">
        <v>17</v>
      </c>
      <c r="AF220" t="n">
        <v>7</v>
      </c>
      <c r="AG220" t="n">
        <v>7</v>
      </c>
      <c r="AH220" t="n">
        <v>3</v>
      </c>
      <c r="AI220" t="n">
        <v>3</v>
      </c>
      <c r="AJ220" t="n">
        <v>7</v>
      </c>
      <c r="AK220" t="n">
        <v>7</v>
      </c>
      <c r="AL220" t="n">
        <v>3</v>
      </c>
      <c r="AM220" t="n">
        <v>3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HYPERLINK("https://creighton-primo.hosted.exlibrisgroup.com/primo-explore/search?tab=default_tab&amp;search_scope=EVERYTHING&amp;vid=01CRU&amp;lang=en_US&amp;offset=0&amp;query=any,contains,991004286289702656","Catalog Record")</f>
        <v/>
      </c>
      <c r="AT220">
        <f>HYPERLINK("http://www.worldcat.org/oclc/51477151","WorldCat Record")</f>
        <v/>
      </c>
      <c r="AU220" t="inlineStr">
        <is>
          <t>4066480325:eng</t>
        </is>
      </c>
      <c r="AV220" t="inlineStr">
        <is>
          <t>51477151</t>
        </is>
      </c>
      <c r="AW220" t="inlineStr">
        <is>
          <t>991004286289702656</t>
        </is>
      </c>
      <c r="AX220" t="inlineStr">
        <is>
          <t>991004286289702656</t>
        </is>
      </c>
      <c r="AY220" t="inlineStr">
        <is>
          <t>2257202000002656</t>
        </is>
      </c>
      <c r="AZ220" t="inlineStr">
        <is>
          <t>BOOK</t>
        </is>
      </c>
      <c r="BB220" t="inlineStr">
        <is>
          <t>9780439375900</t>
        </is>
      </c>
      <c r="BC220" t="inlineStr">
        <is>
          <t>32285004901699</t>
        </is>
      </c>
      <c r="BD220" t="inlineStr">
        <is>
          <t>893679396</t>
        </is>
      </c>
    </row>
    <row r="221">
      <c r="A221" t="inlineStr">
        <is>
          <t>No</t>
        </is>
      </c>
      <c r="B221" t="inlineStr">
        <is>
          <t>HV4076.S26 S36 1995</t>
        </is>
      </c>
      <c r="C221" t="inlineStr">
        <is>
          <t>0                      HV 4076000S  26                 S  36          1995</t>
        </is>
      </c>
      <c r="D221" t="inlineStr">
        <is>
          <t>Shantytown protest in Pinochet's Chile / Cathy Lisa Schneider.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Schneider, Cathy Lisa, 1955-</t>
        </is>
      </c>
      <c r="L221" t="inlineStr">
        <is>
          <t>Philadelphia : Temple University Press, 1995.</t>
        </is>
      </c>
      <c r="M221" t="inlineStr">
        <is>
          <t>1995</t>
        </is>
      </c>
      <c r="O221" t="inlineStr">
        <is>
          <t>eng</t>
        </is>
      </c>
      <c r="P221" t="inlineStr">
        <is>
          <t>pau</t>
        </is>
      </c>
      <c r="R221" t="inlineStr">
        <is>
          <t xml:space="preserve">HV </t>
        </is>
      </c>
      <c r="S221" t="n">
        <v>11</v>
      </c>
      <c r="T221" t="n">
        <v>11</v>
      </c>
      <c r="U221" t="inlineStr">
        <is>
          <t>1999-12-06</t>
        </is>
      </c>
      <c r="V221" t="inlineStr">
        <is>
          <t>1999-12-06</t>
        </is>
      </c>
      <c r="W221" t="inlineStr">
        <is>
          <t>1996-04-02</t>
        </is>
      </c>
      <c r="X221" t="inlineStr">
        <is>
          <t>1996-04-02</t>
        </is>
      </c>
      <c r="Y221" t="n">
        <v>386</v>
      </c>
      <c r="Z221" t="n">
        <v>328</v>
      </c>
      <c r="AA221" t="n">
        <v>536</v>
      </c>
      <c r="AB221" t="n">
        <v>3</v>
      </c>
      <c r="AC221" t="n">
        <v>4</v>
      </c>
      <c r="AD221" t="n">
        <v>20</v>
      </c>
      <c r="AE221" t="n">
        <v>27</v>
      </c>
      <c r="AF221" t="n">
        <v>5</v>
      </c>
      <c r="AG221" t="n">
        <v>10</v>
      </c>
      <c r="AH221" t="n">
        <v>7</v>
      </c>
      <c r="AI221" t="n">
        <v>9</v>
      </c>
      <c r="AJ221" t="n">
        <v>13</v>
      </c>
      <c r="AK221" t="n">
        <v>14</v>
      </c>
      <c r="AL221" t="n">
        <v>2</v>
      </c>
      <c r="AM221" t="n">
        <v>3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HYPERLINK("https://creighton-primo.hosted.exlibrisgroup.com/primo-explore/search?tab=default_tab&amp;search_scope=EVERYTHING&amp;vid=01CRU&amp;lang=en_US&amp;offset=0&amp;query=any,contains,991002449429702656","Catalog Record")</f>
        <v/>
      </c>
      <c r="AT221">
        <f>HYPERLINK("http://www.worldcat.org/oclc/31937655","WorldCat Record")</f>
        <v/>
      </c>
      <c r="AU221" t="inlineStr">
        <is>
          <t>34432430:eng</t>
        </is>
      </c>
      <c r="AV221" t="inlineStr">
        <is>
          <t>31937655</t>
        </is>
      </c>
      <c r="AW221" t="inlineStr">
        <is>
          <t>991002449429702656</t>
        </is>
      </c>
      <c r="AX221" t="inlineStr">
        <is>
          <t>991002449429702656</t>
        </is>
      </c>
      <c r="AY221" t="inlineStr">
        <is>
          <t>2258520080002656</t>
        </is>
      </c>
      <c r="AZ221" t="inlineStr">
        <is>
          <t>BOOK</t>
        </is>
      </c>
      <c r="BB221" t="inlineStr">
        <is>
          <t>9781566393058</t>
        </is>
      </c>
      <c r="BC221" t="inlineStr">
        <is>
          <t>32285002149440</t>
        </is>
      </c>
      <c r="BD221" t="inlineStr">
        <is>
          <t>893523627</t>
        </is>
      </c>
    </row>
    <row r="222">
      <c r="A222" t="inlineStr">
        <is>
          <t>No</t>
        </is>
      </c>
      <c r="B222" t="inlineStr">
        <is>
          <t>HV4085.A3 W45 2006</t>
        </is>
      </c>
      <c r="C222" t="inlineStr">
        <is>
          <t>0                      HV 4085000A  3                  W  45          2006</t>
        </is>
      </c>
      <c r="D222" t="inlineStr">
        <is>
          <t>Underclass : a history of the excluded, 1880-2000 / John Welshman.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Welshman, John.</t>
        </is>
      </c>
      <c r="L222" t="inlineStr">
        <is>
          <t>London ; New York : Hambledon Continuum, 2006.</t>
        </is>
      </c>
      <c r="M222" t="inlineStr">
        <is>
          <t>2006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HV </t>
        </is>
      </c>
      <c r="S222" t="n">
        <v>2</v>
      </c>
      <c r="T222" t="n">
        <v>2</v>
      </c>
      <c r="U222" t="inlineStr">
        <is>
          <t>2008-09-18</t>
        </is>
      </c>
      <c r="V222" t="inlineStr">
        <is>
          <t>2008-09-18</t>
        </is>
      </c>
      <c r="W222" t="inlineStr">
        <is>
          <t>2008-09-18</t>
        </is>
      </c>
      <c r="X222" t="inlineStr">
        <is>
          <t>2008-09-18</t>
        </is>
      </c>
      <c r="Y222" t="n">
        <v>212</v>
      </c>
      <c r="Z222" t="n">
        <v>131</v>
      </c>
      <c r="AA222" t="n">
        <v>490</v>
      </c>
      <c r="AB222" t="n">
        <v>1</v>
      </c>
      <c r="AC222" t="n">
        <v>3</v>
      </c>
      <c r="AD222" t="n">
        <v>8</v>
      </c>
      <c r="AE222" t="n">
        <v>14</v>
      </c>
      <c r="AF222" t="n">
        <v>2</v>
      </c>
      <c r="AG222" t="n">
        <v>6</v>
      </c>
      <c r="AH222" t="n">
        <v>2</v>
      </c>
      <c r="AI222" t="n">
        <v>3</v>
      </c>
      <c r="AJ222" t="n">
        <v>6</v>
      </c>
      <c r="AK222" t="n">
        <v>7</v>
      </c>
      <c r="AL222" t="n">
        <v>0</v>
      </c>
      <c r="AM222" t="n">
        <v>2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HYPERLINK("https://creighton-primo.hosted.exlibrisgroup.com/primo-explore/search?tab=default_tab&amp;search_scope=EVERYTHING&amp;vid=01CRU&amp;lang=en_US&amp;offset=0&amp;query=any,contains,991005263229702656","Catalog Record")</f>
        <v/>
      </c>
      <c r="AT222">
        <f>HYPERLINK("http://www.worldcat.org/oclc/57528642","WorldCat Record")</f>
        <v/>
      </c>
      <c r="AU222" t="inlineStr">
        <is>
          <t>793885998:eng</t>
        </is>
      </c>
      <c r="AV222" t="inlineStr">
        <is>
          <t>57528642</t>
        </is>
      </c>
      <c r="AW222" t="inlineStr">
        <is>
          <t>991005263229702656</t>
        </is>
      </c>
      <c r="AX222" t="inlineStr">
        <is>
          <t>991005263229702656</t>
        </is>
      </c>
      <c r="AY222" t="inlineStr">
        <is>
          <t>2266090310002656</t>
        </is>
      </c>
      <c r="AZ222" t="inlineStr">
        <is>
          <t>BOOK</t>
        </is>
      </c>
      <c r="BB222" t="inlineStr">
        <is>
          <t>9781852853228</t>
        </is>
      </c>
      <c r="BC222" t="inlineStr">
        <is>
          <t>32285005458871</t>
        </is>
      </c>
      <c r="BD222" t="inlineStr">
        <is>
          <t>893789702</t>
        </is>
      </c>
    </row>
    <row r="223">
      <c r="A223" t="inlineStr">
        <is>
          <t>No</t>
        </is>
      </c>
      <c r="B223" t="inlineStr">
        <is>
          <t>HV4085.L6 K68 2004</t>
        </is>
      </c>
      <c r="C223" t="inlineStr">
        <is>
          <t>0                      HV 4085000L  6                  K  68          2004</t>
        </is>
      </c>
      <c r="D223" t="inlineStr">
        <is>
          <t>Slumming : sexual and social politics in Victorian London / Seth Koven.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Koven, Seth, 1958-</t>
        </is>
      </c>
      <c r="L223" t="inlineStr">
        <is>
          <t>Princeton : Princeton University Press, c2004</t>
        </is>
      </c>
      <c r="M223" t="inlineStr">
        <is>
          <t>2004</t>
        </is>
      </c>
      <c r="O223" t="inlineStr">
        <is>
          <t>eng</t>
        </is>
      </c>
      <c r="P223" t="inlineStr">
        <is>
          <t>nju</t>
        </is>
      </c>
      <c r="R223" t="inlineStr">
        <is>
          <t xml:space="preserve">HV </t>
        </is>
      </c>
      <c r="S223" t="n">
        <v>5</v>
      </c>
      <c r="T223" t="n">
        <v>5</v>
      </c>
      <c r="U223" t="inlineStr">
        <is>
          <t>2010-03-04</t>
        </is>
      </c>
      <c r="V223" t="inlineStr">
        <is>
          <t>2010-03-04</t>
        </is>
      </c>
      <c r="W223" t="inlineStr">
        <is>
          <t>2007-02-08</t>
        </is>
      </c>
      <c r="X223" t="inlineStr">
        <is>
          <t>2007-02-08</t>
        </is>
      </c>
      <c r="Y223" t="n">
        <v>504</v>
      </c>
      <c r="Z223" t="n">
        <v>356</v>
      </c>
      <c r="AA223" t="n">
        <v>861</v>
      </c>
      <c r="AB223" t="n">
        <v>2</v>
      </c>
      <c r="AC223" t="n">
        <v>6</v>
      </c>
      <c r="AD223" t="n">
        <v>20</v>
      </c>
      <c r="AE223" t="n">
        <v>41</v>
      </c>
      <c r="AF223" t="n">
        <v>8</v>
      </c>
      <c r="AG223" t="n">
        <v>17</v>
      </c>
      <c r="AH223" t="n">
        <v>7</v>
      </c>
      <c r="AI223" t="n">
        <v>9</v>
      </c>
      <c r="AJ223" t="n">
        <v>9</v>
      </c>
      <c r="AK223" t="n">
        <v>18</v>
      </c>
      <c r="AL223" t="n">
        <v>1</v>
      </c>
      <c r="AM223" t="n">
        <v>5</v>
      </c>
      <c r="AN223" t="n">
        <v>0</v>
      </c>
      <c r="AO223" t="n">
        <v>1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HYPERLINK("https://creighton-primo.hosted.exlibrisgroup.com/primo-explore/search?tab=default_tab&amp;search_scope=EVERYTHING&amp;vid=01CRU&amp;lang=en_US&amp;offset=0&amp;query=any,contains,991005030649702656","Catalog Record")</f>
        <v/>
      </c>
      <c r="AT223">
        <f>HYPERLINK("http://www.worldcat.org/oclc/53096998","WorldCat Record")</f>
        <v/>
      </c>
      <c r="AU223" t="inlineStr">
        <is>
          <t>727807:eng</t>
        </is>
      </c>
      <c r="AV223" t="inlineStr">
        <is>
          <t>53096998</t>
        </is>
      </c>
      <c r="AW223" t="inlineStr">
        <is>
          <t>991005030649702656</t>
        </is>
      </c>
      <c r="AX223" t="inlineStr">
        <is>
          <t>991005030649702656</t>
        </is>
      </c>
      <c r="AY223" t="inlineStr">
        <is>
          <t>2264009050002656</t>
        </is>
      </c>
      <c r="AZ223" t="inlineStr">
        <is>
          <t>BOOK</t>
        </is>
      </c>
      <c r="BB223" t="inlineStr">
        <is>
          <t>9780691115924</t>
        </is>
      </c>
      <c r="BC223" t="inlineStr">
        <is>
          <t>32285005275713</t>
        </is>
      </c>
      <c r="BD223" t="inlineStr">
        <is>
          <t>893719673</t>
        </is>
      </c>
    </row>
    <row r="224">
      <c r="A224" t="inlineStr">
        <is>
          <t>No</t>
        </is>
      </c>
      <c r="B224" t="inlineStr">
        <is>
          <t>HV41 .B255 1974</t>
        </is>
      </c>
      <c r="C224" t="inlineStr">
        <is>
          <t>0                      HV 0041000B  255         1974</t>
        </is>
      </c>
      <c r="D224" t="inlineStr">
        <is>
          <t>Community work and social work / Peter Baldock.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Baldock, Peter.</t>
        </is>
      </c>
      <c r="L224" t="inlineStr">
        <is>
          <t>London ; Boston : Routledge &amp; K. Paul, 1974.</t>
        </is>
      </c>
      <c r="M224" t="inlineStr">
        <is>
          <t>1974</t>
        </is>
      </c>
      <c r="O224" t="inlineStr">
        <is>
          <t>eng</t>
        </is>
      </c>
      <c r="P224" t="inlineStr">
        <is>
          <t>enk</t>
        </is>
      </c>
      <c r="Q224" t="inlineStr">
        <is>
          <t>Library of social work</t>
        </is>
      </c>
      <c r="R224" t="inlineStr">
        <is>
          <t xml:space="preserve">HV </t>
        </is>
      </c>
      <c r="S224" t="n">
        <v>2</v>
      </c>
      <c r="T224" t="n">
        <v>2</v>
      </c>
      <c r="U224" t="inlineStr">
        <is>
          <t>2007-04-25</t>
        </is>
      </c>
      <c r="V224" t="inlineStr">
        <is>
          <t>2007-04-25</t>
        </is>
      </c>
      <c r="W224" t="inlineStr">
        <is>
          <t>1997-08-20</t>
        </is>
      </c>
      <c r="X224" t="inlineStr">
        <is>
          <t>1997-08-20</t>
        </is>
      </c>
      <c r="Y224" t="n">
        <v>384</v>
      </c>
      <c r="Z224" t="n">
        <v>225</v>
      </c>
      <c r="AA224" t="n">
        <v>226</v>
      </c>
      <c r="AB224" t="n">
        <v>4</v>
      </c>
      <c r="AC224" t="n">
        <v>4</v>
      </c>
      <c r="AD224" t="n">
        <v>11</v>
      </c>
      <c r="AE224" t="n">
        <v>11</v>
      </c>
      <c r="AF224" t="n">
        <v>4</v>
      </c>
      <c r="AG224" t="n">
        <v>4</v>
      </c>
      <c r="AH224" t="n">
        <v>2</v>
      </c>
      <c r="AI224" t="n">
        <v>2</v>
      </c>
      <c r="AJ224" t="n">
        <v>4</v>
      </c>
      <c r="AK224" t="n">
        <v>4</v>
      </c>
      <c r="AL224" t="n">
        <v>3</v>
      </c>
      <c r="AM224" t="n">
        <v>3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HYPERLINK("http://catalog.hathitrust.org/Record/000028125","HathiTrust Record")</f>
        <v/>
      </c>
      <c r="AS224">
        <f>HYPERLINK("https://creighton-primo.hosted.exlibrisgroup.com/primo-explore/search?tab=default_tab&amp;search_scope=EVERYTHING&amp;vid=01CRU&amp;lang=en_US&amp;offset=0&amp;query=any,contains,991003659019702656","Catalog Record")</f>
        <v/>
      </c>
      <c r="AT224">
        <f>HYPERLINK("http://www.worldcat.org/oclc/1265463","WorldCat Record")</f>
        <v/>
      </c>
      <c r="AU224" t="inlineStr">
        <is>
          <t>2191083:eng</t>
        </is>
      </c>
      <c r="AV224" t="inlineStr">
        <is>
          <t>1265463</t>
        </is>
      </c>
      <c r="AW224" t="inlineStr">
        <is>
          <t>991003659019702656</t>
        </is>
      </c>
      <c r="AX224" t="inlineStr">
        <is>
          <t>991003659019702656</t>
        </is>
      </c>
      <c r="AY224" t="inlineStr">
        <is>
          <t>2261638100002656</t>
        </is>
      </c>
      <c r="AZ224" t="inlineStr">
        <is>
          <t>BOOK</t>
        </is>
      </c>
      <c r="BB224" t="inlineStr">
        <is>
          <t>9780710080264</t>
        </is>
      </c>
      <c r="BC224" t="inlineStr">
        <is>
          <t>32285003149910</t>
        </is>
      </c>
      <c r="BD224" t="inlineStr">
        <is>
          <t>893262859</t>
        </is>
      </c>
    </row>
    <row r="225">
      <c r="A225" t="inlineStr">
        <is>
          <t>No</t>
        </is>
      </c>
      <c r="B225" t="inlineStr">
        <is>
          <t>HV41 .B45</t>
        </is>
      </c>
      <c r="C225" t="inlineStr">
        <is>
          <t>0                      HV 0041000B  45</t>
        </is>
      </c>
      <c r="D225" t="inlineStr">
        <is>
          <t>The paradox of helping: introduction to the philosophy of scientific practice.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Bloom, Martin, 1934-</t>
        </is>
      </c>
      <c r="L225" t="inlineStr">
        <is>
          <t>New York, Wiley [1975]</t>
        </is>
      </c>
      <c r="M225" t="inlineStr">
        <is>
          <t>1975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HV </t>
        </is>
      </c>
      <c r="S225" t="n">
        <v>3</v>
      </c>
      <c r="T225" t="n">
        <v>3</v>
      </c>
      <c r="U225" t="inlineStr">
        <is>
          <t>2000-09-11</t>
        </is>
      </c>
      <c r="V225" t="inlineStr">
        <is>
          <t>2000-09-11</t>
        </is>
      </c>
      <c r="W225" t="inlineStr">
        <is>
          <t>1997-08-20</t>
        </is>
      </c>
      <c r="X225" t="inlineStr">
        <is>
          <t>1997-08-20</t>
        </is>
      </c>
      <c r="Y225" t="n">
        <v>455</v>
      </c>
      <c r="Z225" t="n">
        <v>346</v>
      </c>
      <c r="AA225" t="n">
        <v>348</v>
      </c>
      <c r="AB225" t="n">
        <v>4</v>
      </c>
      <c r="AC225" t="n">
        <v>4</v>
      </c>
      <c r="AD225" t="n">
        <v>17</v>
      </c>
      <c r="AE225" t="n">
        <v>17</v>
      </c>
      <c r="AF225" t="n">
        <v>5</v>
      </c>
      <c r="AG225" t="n">
        <v>5</v>
      </c>
      <c r="AH225" t="n">
        <v>4</v>
      </c>
      <c r="AI225" t="n">
        <v>4</v>
      </c>
      <c r="AJ225" t="n">
        <v>9</v>
      </c>
      <c r="AK225" t="n">
        <v>9</v>
      </c>
      <c r="AL225" t="n">
        <v>2</v>
      </c>
      <c r="AM225" t="n">
        <v>2</v>
      </c>
      <c r="AN225" t="n">
        <v>1</v>
      </c>
      <c r="AO225" t="n">
        <v>1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HYPERLINK("http://catalog.hathitrust.org/Record/001131425","HathiTrust Record")</f>
        <v/>
      </c>
      <c r="AS225">
        <f>HYPERLINK("https://creighton-primo.hosted.exlibrisgroup.com/primo-explore/search?tab=default_tab&amp;search_scope=EVERYTHING&amp;vid=01CRU&amp;lang=en_US&amp;offset=0&amp;query=any,contains,991003445239702656","Catalog Record")</f>
        <v/>
      </c>
      <c r="AT225">
        <f>HYPERLINK("http://www.worldcat.org/oclc/980383","WorldCat Record")</f>
        <v/>
      </c>
      <c r="AU225" t="inlineStr">
        <is>
          <t>1944757:eng</t>
        </is>
      </c>
      <c r="AV225" t="inlineStr">
        <is>
          <t>980383</t>
        </is>
      </c>
      <c r="AW225" t="inlineStr">
        <is>
          <t>991003445239702656</t>
        </is>
      </c>
      <c r="AX225" t="inlineStr">
        <is>
          <t>991003445239702656</t>
        </is>
      </c>
      <c r="AY225" t="inlineStr">
        <is>
          <t>2271390780002656</t>
        </is>
      </c>
      <c r="AZ225" t="inlineStr">
        <is>
          <t>BOOK</t>
        </is>
      </c>
      <c r="BB225" t="inlineStr">
        <is>
          <t>9780471082354</t>
        </is>
      </c>
      <c r="BC225" t="inlineStr">
        <is>
          <t>32285003149936</t>
        </is>
      </c>
      <c r="BD225" t="inlineStr">
        <is>
          <t>893342553</t>
        </is>
      </c>
    </row>
    <row r="226">
      <c r="A226" t="inlineStr">
        <is>
          <t>No</t>
        </is>
      </c>
      <c r="B226" t="inlineStr">
        <is>
          <t>HV41 .B654</t>
        </is>
      </c>
      <c r="C226" t="inlineStr">
        <is>
          <t>0                      HV 0041000B  654</t>
        </is>
      </c>
      <c r="D226" t="inlineStr">
        <is>
          <t>Tested ways to successful fund raising / George A. Brakeley, Jr.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Brakeley, George A.</t>
        </is>
      </c>
      <c r="L226" t="inlineStr">
        <is>
          <t>New York : AMACOM, c1980.</t>
        </is>
      </c>
      <c r="M226" t="inlineStr">
        <is>
          <t>1980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HV </t>
        </is>
      </c>
      <c r="S226" t="n">
        <v>4</v>
      </c>
      <c r="T226" t="n">
        <v>4</v>
      </c>
      <c r="U226" t="inlineStr">
        <is>
          <t>1992-10-10</t>
        </is>
      </c>
      <c r="V226" t="inlineStr">
        <is>
          <t>1992-10-10</t>
        </is>
      </c>
      <c r="W226" t="inlineStr">
        <is>
          <t>1990-03-28</t>
        </is>
      </c>
      <c r="X226" t="inlineStr">
        <is>
          <t>1990-03-28</t>
        </is>
      </c>
      <c r="Y226" t="n">
        <v>401</v>
      </c>
      <c r="Z226" t="n">
        <v>368</v>
      </c>
      <c r="AA226" t="n">
        <v>386</v>
      </c>
      <c r="AB226" t="n">
        <v>2</v>
      </c>
      <c r="AC226" t="n">
        <v>2</v>
      </c>
      <c r="AD226" t="n">
        <v>11</v>
      </c>
      <c r="AE226" t="n">
        <v>12</v>
      </c>
      <c r="AF226" t="n">
        <v>5</v>
      </c>
      <c r="AG226" t="n">
        <v>5</v>
      </c>
      <c r="AH226" t="n">
        <v>2</v>
      </c>
      <c r="AI226" t="n">
        <v>2</v>
      </c>
      <c r="AJ226" t="n">
        <v>7</v>
      </c>
      <c r="AK226" t="n">
        <v>8</v>
      </c>
      <c r="AL226" t="n">
        <v>1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HYPERLINK("https://creighton-primo.hosted.exlibrisgroup.com/primo-explore/search?tab=default_tab&amp;search_scope=EVERYTHING&amp;vid=01CRU&amp;lang=en_US&amp;offset=0&amp;query=any,contains,991004904239702656","Catalog Record")</f>
        <v/>
      </c>
      <c r="AT226">
        <f>HYPERLINK("http://www.worldcat.org/oclc/5943157","WorldCat Record")</f>
        <v/>
      </c>
      <c r="AU226" t="inlineStr">
        <is>
          <t>476389:eng</t>
        </is>
      </c>
      <c r="AV226" t="inlineStr">
        <is>
          <t>5943157</t>
        </is>
      </c>
      <c r="AW226" t="inlineStr">
        <is>
          <t>991004904239702656</t>
        </is>
      </c>
      <c r="AX226" t="inlineStr">
        <is>
          <t>991004904239702656</t>
        </is>
      </c>
      <c r="AY226" t="inlineStr">
        <is>
          <t>2269383660002656</t>
        </is>
      </c>
      <c r="AZ226" t="inlineStr">
        <is>
          <t>BOOK</t>
        </is>
      </c>
      <c r="BB226" t="inlineStr">
        <is>
          <t>9780814455319</t>
        </is>
      </c>
      <c r="BC226" t="inlineStr">
        <is>
          <t>32285000105865</t>
        </is>
      </c>
      <c r="BD226" t="inlineStr">
        <is>
          <t>893263500</t>
        </is>
      </c>
    </row>
    <row r="227">
      <c r="A227" t="inlineStr">
        <is>
          <t>No</t>
        </is>
      </c>
      <c r="B227" t="inlineStr">
        <is>
          <t>HV41 .C59 1962c</t>
        </is>
      </c>
      <c r="C227" t="inlineStr">
        <is>
          <t>0                      HV 0041000C  59          1962c</t>
        </is>
      </c>
      <c r="D227" t="inlineStr">
        <is>
          <t>Building social work knowledge : report of a conference.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Conference on Building Social Work Knowledge (1962 : Princeton, N.J.)</t>
        </is>
      </c>
      <c r="L227" t="inlineStr">
        <is>
          <t>New York : National Association of Social Workers, [1964]</t>
        </is>
      </c>
      <c r="M227" t="inlineStr">
        <is>
          <t>1964</t>
        </is>
      </c>
      <c r="O227" t="inlineStr">
        <is>
          <t>eng</t>
        </is>
      </c>
      <c r="P227" t="inlineStr">
        <is>
          <t>nyu</t>
        </is>
      </c>
      <c r="R227" t="inlineStr">
        <is>
          <t xml:space="preserve">HV </t>
        </is>
      </c>
      <c r="S227" t="n">
        <v>1</v>
      </c>
      <c r="T227" t="n">
        <v>1</v>
      </c>
      <c r="U227" t="inlineStr">
        <is>
          <t>2000-09-11</t>
        </is>
      </c>
      <c r="V227" t="inlineStr">
        <is>
          <t>2000-09-11</t>
        </is>
      </c>
      <c r="W227" t="inlineStr">
        <is>
          <t>1995-08-09</t>
        </is>
      </c>
      <c r="X227" t="inlineStr">
        <is>
          <t>1995-08-09</t>
        </is>
      </c>
      <c r="Y227" t="n">
        <v>161</v>
      </c>
      <c r="Z227" t="n">
        <v>134</v>
      </c>
      <c r="AA227" t="n">
        <v>136</v>
      </c>
      <c r="AB227" t="n">
        <v>2</v>
      </c>
      <c r="AC227" t="n">
        <v>2</v>
      </c>
      <c r="AD227" t="n">
        <v>7</v>
      </c>
      <c r="AE227" t="n">
        <v>7</v>
      </c>
      <c r="AF227" t="n">
        <v>1</v>
      </c>
      <c r="AG227" t="n">
        <v>1</v>
      </c>
      <c r="AH227" t="n">
        <v>1</v>
      </c>
      <c r="AI227" t="n">
        <v>1</v>
      </c>
      <c r="AJ227" t="n">
        <v>5</v>
      </c>
      <c r="AK227" t="n">
        <v>5</v>
      </c>
      <c r="AL227" t="n">
        <v>1</v>
      </c>
      <c r="AM227" t="n">
        <v>1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HYPERLINK("http://catalog.hathitrust.org/Record/001131434","HathiTrust Record")</f>
        <v/>
      </c>
      <c r="AS227">
        <f>HYPERLINK("https://creighton-primo.hosted.exlibrisgroup.com/primo-explore/search?tab=default_tab&amp;search_scope=EVERYTHING&amp;vid=01CRU&amp;lang=en_US&amp;offset=0&amp;query=any,contains,991002062669702656","Catalog Record")</f>
        <v/>
      </c>
      <c r="AT227">
        <f>HYPERLINK("http://www.worldcat.org/oclc/263181","WorldCat Record")</f>
        <v/>
      </c>
      <c r="AU227" t="inlineStr">
        <is>
          <t>422705830:eng</t>
        </is>
      </c>
      <c r="AV227" t="inlineStr">
        <is>
          <t>263181</t>
        </is>
      </c>
      <c r="AW227" t="inlineStr">
        <is>
          <t>991002062669702656</t>
        </is>
      </c>
      <c r="AX227" t="inlineStr">
        <is>
          <t>991002062669702656</t>
        </is>
      </c>
      <c r="AY227" t="inlineStr">
        <is>
          <t>2268776040002656</t>
        </is>
      </c>
      <c r="AZ227" t="inlineStr">
        <is>
          <t>BOOK</t>
        </is>
      </c>
      <c r="BC227" t="inlineStr">
        <is>
          <t>32285002063393</t>
        </is>
      </c>
      <c r="BD227" t="inlineStr">
        <is>
          <t>893334898</t>
        </is>
      </c>
    </row>
    <row r="228">
      <c r="A228" t="inlineStr">
        <is>
          <t>No</t>
        </is>
      </c>
      <c r="B228" t="inlineStr">
        <is>
          <t>HV41 .C6445 1997</t>
        </is>
      </c>
      <c r="C228" t="inlineStr">
        <is>
          <t>0                      HV 0041000C  6445        1997</t>
        </is>
      </c>
      <c r="D228" t="inlineStr">
        <is>
          <t>Controversial issues in multiculturalism / edited by Diane de Anda.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Boston : Allyn and Bacon, c1997.</t>
        </is>
      </c>
      <c r="M228" t="inlineStr">
        <is>
          <t>1997</t>
        </is>
      </c>
      <c r="O228" t="inlineStr">
        <is>
          <t>eng</t>
        </is>
      </c>
      <c r="P228" t="inlineStr">
        <is>
          <t>mau</t>
        </is>
      </c>
      <c r="R228" t="inlineStr">
        <is>
          <t xml:space="preserve">HV </t>
        </is>
      </c>
      <c r="S228" t="n">
        <v>3</v>
      </c>
      <c r="T228" t="n">
        <v>3</v>
      </c>
      <c r="U228" t="inlineStr">
        <is>
          <t>2002-04-28</t>
        </is>
      </c>
      <c r="V228" t="inlineStr">
        <is>
          <t>2002-04-28</t>
        </is>
      </c>
      <c r="W228" t="inlineStr">
        <is>
          <t>1997-02-19</t>
        </is>
      </c>
      <c r="X228" t="inlineStr">
        <is>
          <t>1997-02-19</t>
        </is>
      </c>
      <c r="Y228" t="n">
        <v>306</v>
      </c>
      <c r="Z228" t="n">
        <v>250</v>
      </c>
      <c r="AA228" t="n">
        <v>252</v>
      </c>
      <c r="AB228" t="n">
        <v>3</v>
      </c>
      <c r="AC228" t="n">
        <v>3</v>
      </c>
      <c r="AD228" t="n">
        <v>14</v>
      </c>
      <c r="AE228" t="n">
        <v>14</v>
      </c>
      <c r="AF228" t="n">
        <v>5</v>
      </c>
      <c r="AG228" t="n">
        <v>5</v>
      </c>
      <c r="AH228" t="n">
        <v>2</v>
      </c>
      <c r="AI228" t="n">
        <v>2</v>
      </c>
      <c r="AJ228" t="n">
        <v>9</v>
      </c>
      <c r="AK228" t="n">
        <v>9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HYPERLINK("http://catalog.hathitrust.org/Record/003133611","HathiTrust Record")</f>
        <v/>
      </c>
      <c r="AS228">
        <f>HYPERLINK("https://creighton-primo.hosted.exlibrisgroup.com/primo-explore/search?tab=default_tab&amp;search_scope=EVERYTHING&amp;vid=01CRU&amp;lang=en_US&amp;offset=0&amp;query=any,contains,991002660129702656","Catalog Record")</f>
        <v/>
      </c>
      <c r="AT228">
        <f>HYPERLINK("http://www.worldcat.org/oclc/34772128","WorldCat Record")</f>
        <v/>
      </c>
      <c r="AU228" t="inlineStr">
        <is>
          <t>40051263:eng</t>
        </is>
      </c>
      <c r="AV228" t="inlineStr">
        <is>
          <t>34772128</t>
        </is>
      </c>
      <c r="AW228" t="inlineStr">
        <is>
          <t>991002660129702656</t>
        </is>
      </c>
      <c r="AX228" t="inlineStr">
        <is>
          <t>991002660129702656</t>
        </is>
      </c>
      <c r="AY228" t="inlineStr">
        <is>
          <t>2263148180002656</t>
        </is>
      </c>
      <c r="AZ228" t="inlineStr">
        <is>
          <t>BOOK</t>
        </is>
      </c>
      <c r="BB228" t="inlineStr">
        <is>
          <t>9780205188178</t>
        </is>
      </c>
      <c r="BC228" t="inlineStr">
        <is>
          <t>32285002431798</t>
        </is>
      </c>
      <c r="BD228" t="inlineStr">
        <is>
          <t>893415485</t>
        </is>
      </c>
    </row>
    <row r="229">
      <c r="A229" t="inlineStr">
        <is>
          <t>No</t>
        </is>
      </c>
      <c r="B229" t="inlineStr">
        <is>
          <t>HV41 .E33</t>
        </is>
      </c>
      <c r="C229" t="inlineStr">
        <is>
          <t>0                      HV 0041000E  33</t>
        </is>
      </c>
      <c r="D229" t="inlineStr">
        <is>
          <t>Burn-out : stages of disillusionment in the helping professions / by Jerry Edelwich, with Archie Brodsky.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Edelwich, Jerry.</t>
        </is>
      </c>
      <c r="L229" t="inlineStr">
        <is>
          <t>New York, NY : Human Sciences Press, c1980.</t>
        </is>
      </c>
      <c r="M229" t="inlineStr">
        <is>
          <t>1980</t>
        </is>
      </c>
      <c r="O229" t="inlineStr">
        <is>
          <t>eng</t>
        </is>
      </c>
      <c r="P229" t="inlineStr">
        <is>
          <t>nyu</t>
        </is>
      </c>
      <c r="R229" t="inlineStr">
        <is>
          <t xml:space="preserve">HV </t>
        </is>
      </c>
      <c r="S229" t="n">
        <v>5</v>
      </c>
      <c r="T229" t="n">
        <v>5</v>
      </c>
      <c r="U229" t="inlineStr">
        <is>
          <t>2000-02-14</t>
        </is>
      </c>
      <c r="V229" t="inlineStr">
        <is>
          <t>2000-02-14</t>
        </is>
      </c>
      <c r="W229" t="inlineStr">
        <is>
          <t>1990-07-23</t>
        </is>
      </c>
      <c r="X229" t="inlineStr">
        <is>
          <t>1990-07-23</t>
        </is>
      </c>
      <c r="Y229" t="n">
        <v>1276</v>
      </c>
      <c r="Z229" t="n">
        <v>1100</v>
      </c>
      <c r="AA229" t="n">
        <v>1107</v>
      </c>
      <c r="AB229" t="n">
        <v>5</v>
      </c>
      <c r="AC229" t="n">
        <v>5</v>
      </c>
      <c r="AD229" t="n">
        <v>41</v>
      </c>
      <c r="AE229" t="n">
        <v>41</v>
      </c>
      <c r="AF229" t="n">
        <v>20</v>
      </c>
      <c r="AG229" t="n">
        <v>20</v>
      </c>
      <c r="AH229" t="n">
        <v>7</v>
      </c>
      <c r="AI229" t="n">
        <v>7</v>
      </c>
      <c r="AJ229" t="n">
        <v>19</v>
      </c>
      <c r="AK229" t="n">
        <v>19</v>
      </c>
      <c r="AL229" t="n">
        <v>4</v>
      </c>
      <c r="AM229" t="n">
        <v>4</v>
      </c>
      <c r="AN229" t="n">
        <v>1</v>
      </c>
      <c r="AO229" t="n">
        <v>1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HYPERLINK("http://catalog.hathitrust.org/Record/000039937","HathiTrust Record")</f>
        <v/>
      </c>
      <c r="AS229">
        <f>HYPERLINK("https://creighton-primo.hosted.exlibrisgroup.com/primo-explore/search?tab=default_tab&amp;search_scope=EVERYTHING&amp;vid=01CRU&amp;lang=en_US&amp;offset=0&amp;query=any,contains,991004896019702656","Catalog Record")</f>
        <v/>
      </c>
      <c r="AT229">
        <f>HYPERLINK("http://www.worldcat.org/oclc/5893893","WorldCat Record")</f>
        <v/>
      </c>
      <c r="AU229" t="inlineStr">
        <is>
          <t>796296681:eng</t>
        </is>
      </c>
      <c r="AV229" t="inlineStr">
        <is>
          <t>5893893</t>
        </is>
      </c>
      <c r="AW229" t="inlineStr">
        <is>
          <t>991004896019702656</t>
        </is>
      </c>
      <c r="AX229" t="inlineStr">
        <is>
          <t>991004896019702656</t>
        </is>
      </c>
      <c r="AY229" t="inlineStr">
        <is>
          <t>2265115100002656</t>
        </is>
      </c>
      <c r="AZ229" t="inlineStr">
        <is>
          <t>BOOK</t>
        </is>
      </c>
      <c r="BB229" t="inlineStr">
        <is>
          <t>9780877055075</t>
        </is>
      </c>
      <c r="BC229" t="inlineStr">
        <is>
          <t>32285000246412</t>
        </is>
      </c>
      <c r="BD229" t="inlineStr">
        <is>
          <t>893801451</t>
        </is>
      </c>
    </row>
    <row r="230">
      <c r="A230" t="inlineStr">
        <is>
          <t>No</t>
        </is>
      </c>
      <c r="B230" t="inlineStr">
        <is>
          <t>HV41 .G95 1999</t>
        </is>
      </c>
      <c r="C230" t="inlineStr">
        <is>
          <t>0                      HV 0041000G  95          1999</t>
        </is>
      </c>
      <c r="D230" t="inlineStr">
        <is>
          <t>Making TQM work : quality tools for human service organizations / John Gunther, Frank Hawkins.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Gunther, John Joseph, 1946-</t>
        </is>
      </c>
      <c r="L230" t="inlineStr">
        <is>
          <t>New York : Springer Pub. Co., c1999.</t>
        </is>
      </c>
      <c r="M230" t="inlineStr">
        <is>
          <t>1999</t>
        </is>
      </c>
      <c r="O230" t="inlineStr">
        <is>
          <t>eng</t>
        </is>
      </c>
      <c r="P230" t="inlineStr">
        <is>
          <t>nyu</t>
        </is>
      </c>
      <c r="Q230" t="inlineStr">
        <is>
          <t>Springer series on social work</t>
        </is>
      </c>
      <c r="R230" t="inlineStr">
        <is>
          <t xml:space="preserve">HV </t>
        </is>
      </c>
      <c r="S230" t="n">
        <v>2</v>
      </c>
      <c r="T230" t="n">
        <v>2</v>
      </c>
      <c r="U230" t="inlineStr">
        <is>
          <t>2010-04-22</t>
        </is>
      </c>
      <c r="V230" t="inlineStr">
        <is>
          <t>2010-04-22</t>
        </is>
      </c>
      <c r="W230" t="inlineStr">
        <is>
          <t>2000-03-09</t>
        </is>
      </c>
      <c r="X230" t="inlineStr">
        <is>
          <t>2000-03-09</t>
        </is>
      </c>
      <c r="Y230" t="n">
        <v>140</v>
      </c>
      <c r="Z230" t="n">
        <v>118</v>
      </c>
      <c r="AA230" t="n">
        <v>120</v>
      </c>
      <c r="AB230" t="n">
        <v>3</v>
      </c>
      <c r="AC230" t="n">
        <v>3</v>
      </c>
      <c r="AD230" t="n">
        <v>7</v>
      </c>
      <c r="AE230" t="n">
        <v>7</v>
      </c>
      <c r="AF230" t="n">
        <v>3</v>
      </c>
      <c r="AG230" t="n">
        <v>3</v>
      </c>
      <c r="AH230" t="n">
        <v>0</v>
      </c>
      <c r="AI230" t="n">
        <v>0</v>
      </c>
      <c r="AJ230" t="n">
        <v>4</v>
      </c>
      <c r="AK230" t="n">
        <v>4</v>
      </c>
      <c r="AL230" t="n">
        <v>2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HYPERLINK("http://catalog.hathitrust.org/Record/010693801","HathiTrust Record")</f>
        <v/>
      </c>
      <c r="AS230">
        <f>HYPERLINK("https://creighton-primo.hosted.exlibrisgroup.com/primo-explore/search?tab=default_tab&amp;search_scope=EVERYTHING&amp;vid=01CRU&amp;lang=en_US&amp;offset=0&amp;query=any,contains,991002999069702656","Catalog Record")</f>
        <v/>
      </c>
      <c r="AT230">
        <f>HYPERLINK("http://www.worldcat.org/oclc/40595364","WorldCat Record")</f>
        <v/>
      </c>
      <c r="AU230" t="inlineStr">
        <is>
          <t>1010406521:eng</t>
        </is>
      </c>
      <c r="AV230" t="inlineStr">
        <is>
          <t>40595364</t>
        </is>
      </c>
      <c r="AW230" t="inlineStr">
        <is>
          <t>991002999069702656</t>
        </is>
      </c>
      <c r="AX230" t="inlineStr">
        <is>
          <t>991002999069702656</t>
        </is>
      </c>
      <c r="AY230" t="inlineStr">
        <is>
          <t>2262168800002656</t>
        </is>
      </c>
      <c r="AZ230" t="inlineStr">
        <is>
          <t>BOOK</t>
        </is>
      </c>
      <c r="BB230" t="inlineStr">
        <is>
          <t>9780826111876</t>
        </is>
      </c>
      <c r="BC230" t="inlineStr">
        <is>
          <t>32285003668323</t>
        </is>
      </c>
      <c r="BD230" t="inlineStr">
        <is>
          <t>893686073</t>
        </is>
      </c>
    </row>
    <row r="231">
      <c r="A231" t="inlineStr">
        <is>
          <t>No</t>
        </is>
      </c>
      <c r="B231" t="inlineStr">
        <is>
          <t>HV41 .H325 2000</t>
        </is>
      </c>
      <c r="C231" t="inlineStr">
        <is>
          <t>0                      HV 0041000H  325         2000</t>
        </is>
      </c>
      <c r="D231" t="inlineStr">
        <is>
          <t>The handbook of social welfare management / edited by Rino J. Patti.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Thousand Oaks, Calif. : Sage Publications, Inc., c2000.</t>
        </is>
      </c>
      <c r="M231" t="inlineStr">
        <is>
          <t>2000</t>
        </is>
      </c>
      <c r="O231" t="inlineStr">
        <is>
          <t>eng</t>
        </is>
      </c>
      <c r="P231" t="inlineStr">
        <is>
          <t>cau</t>
        </is>
      </c>
      <c r="R231" t="inlineStr">
        <is>
          <t xml:space="preserve">HV </t>
        </is>
      </c>
      <c r="S231" t="n">
        <v>2</v>
      </c>
      <c r="T231" t="n">
        <v>2</v>
      </c>
      <c r="U231" t="inlineStr">
        <is>
          <t>2003-08-21</t>
        </is>
      </c>
      <c r="V231" t="inlineStr">
        <is>
          <t>2003-08-21</t>
        </is>
      </c>
      <c r="W231" t="inlineStr">
        <is>
          <t>2001-10-13</t>
        </is>
      </c>
      <c r="X231" t="inlineStr">
        <is>
          <t>2001-10-13</t>
        </is>
      </c>
      <c r="Y231" t="n">
        <v>344</v>
      </c>
      <c r="Z231" t="n">
        <v>259</v>
      </c>
      <c r="AA231" t="n">
        <v>284</v>
      </c>
      <c r="AB231" t="n">
        <v>2</v>
      </c>
      <c r="AC231" t="n">
        <v>2</v>
      </c>
      <c r="AD231" t="n">
        <v>13</v>
      </c>
      <c r="AE231" t="n">
        <v>13</v>
      </c>
      <c r="AF231" t="n">
        <v>4</v>
      </c>
      <c r="AG231" t="n">
        <v>4</v>
      </c>
      <c r="AH231" t="n">
        <v>4</v>
      </c>
      <c r="AI231" t="n">
        <v>4</v>
      </c>
      <c r="AJ231" t="n">
        <v>8</v>
      </c>
      <c r="AK231" t="n">
        <v>8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HYPERLINK("https://creighton-primo.hosted.exlibrisgroup.com/primo-explore/search?tab=default_tab&amp;search_scope=EVERYTHING&amp;vid=01CRU&amp;lang=en_US&amp;offset=0&amp;query=any,contains,991003625249702656","Catalog Record")</f>
        <v/>
      </c>
      <c r="AT231">
        <f>HYPERLINK("http://www.worldcat.org/oclc/42863310","WorldCat Record")</f>
        <v/>
      </c>
      <c r="AU231" t="inlineStr">
        <is>
          <t>54900131:eng</t>
        </is>
      </c>
      <c r="AV231" t="inlineStr">
        <is>
          <t>42863310</t>
        </is>
      </c>
      <c r="AW231" t="inlineStr">
        <is>
          <t>991003625249702656</t>
        </is>
      </c>
      <c r="AX231" t="inlineStr">
        <is>
          <t>991003625249702656</t>
        </is>
      </c>
      <c r="AY231" t="inlineStr">
        <is>
          <t>2263561700002656</t>
        </is>
      </c>
      <c r="AZ231" t="inlineStr">
        <is>
          <t>BOOK</t>
        </is>
      </c>
      <c r="BB231" t="inlineStr">
        <is>
          <t>9780761914709</t>
        </is>
      </c>
      <c r="BC231" t="inlineStr">
        <is>
          <t>32285004395710</t>
        </is>
      </c>
      <c r="BD231" t="inlineStr">
        <is>
          <t>893228251</t>
        </is>
      </c>
    </row>
    <row r="232">
      <c r="A232" t="inlineStr">
        <is>
          <t>No</t>
        </is>
      </c>
      <c r="B232" t="inlineStr">
        <is>
          <t>HV41 .K47 1985</t>
        </is>
      </c>
      <c r="C232" t="inlineStr">
        <is>
          <t>0                      HV 0041000K  47          1985</t>
        </is>
      </c>
      <c r="D232" t="inlineStr">
        <is>
          <t>Initiating change in organizations and communities : a macro practice model / Peter M. Kettner, John M. Daley, Ann Weaver Nichols.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Kettner, Peter M., 1936-</t>
        </is>
      </c>
      <c r="L232" t="inlineStr">
        <is>
          <t>Monterey, Calif. : Brooks/Cole Pub. Co., c1985.</t>
        </is>
      </c>
      <c r="M232" t="inlineStr">
        <is>
          <t>1985</t>
        </is>
      </c>
      <c r="O232" t="inlineStr">
        <is>
          <t>eng</t>
        </is>
      </c>
      <c r="P232" t="inlineStr">
        <is>
          <t>cau</t>
        </is>
      </c>
      <c r="R232" t="inlineStr">
        <is>
          <t xml:space="preserve">HV </t>
        </is>
      </c>
      <c r="S232" t="n">
        <v>7</v>
      </c>
      <c r="T232" t="n">
        <v>7</v>
      </c>
      <c r="U232" t="inlineStr">
        <is>
          <t>2007-04-25</t>
        </is>
      </c>
      <c r="V232" t="inlineStr">
        <is>
          <t>2007-04-25</t>
        </is>
      </c>
      <c r="W232" t="inlineStr">
        <is>
          <t>1993-10-12</t>
        </is>
      </c>
      <c r="X232" t="inlineStr">
        <is>
          <t>1993-10-12</t>
        </is>
      </c>
      <c r="Y232" t="n">
        <v>344</v>
      </c>
      <c r="Z232" t="n">
        <v>284</v>
      </c>
      <c r="AA232" t="n">
        <v>286</v>
      </c>
      <c r="AB232" t="n">
        <v>2</v>
      </c>
      <c r="AC232" t="n">
        <v>2</v>
      </c>
      <c r="AD232" t="n">
        <v>12</v>
      </c>
      <c r="AE232" t="n">
        <v>12</v>
      </c>
      <c r="AF232" t="n">
        <v>3</v>
      </c>
      <c r="AG232" t="n">
        <v>3</v>
      </c>
      <c r="AH232" t="n">
        <v>3</v>
      </c>
      <c r="AI232" t="n">
        <v>3</v>
      </c>
      <c r="AJ232" t="n">
        <v>8</v>
      </c>
      <c r="AK232" t="n">
        <v>8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HYPERLINK("http://catalog.hathitrust.org/Record/000611034","HathiTrust Record")</f>
        <v/>
      </c>
      <c r="AS232">
        <f>HYPERLINK("https://creighton-primo.hosted.exlibrisgroup.com/primo-explore/search?tab=default_tab&amp;search_scope=EVERYTHING&amp;vid=01CRU&amp;lang=en_US&amp;offset=0&amp;query=any,contains,991000436379702656","Catalog Record")</f>
        <v/>
      </c>
      <c r="AT232">
        <f>HYPERLINK("http://www.worldcat.org/oclc/10799082","WorldCat Record")</f>
        <v/>
      </c>
      <c r="AU232" t="inlineStr">
        <is>
          <t>3794724:eng</t>
        </is>
      </c>
      <c r="AV232" t="inlineStr">
        <is>
          <t>10799082</t>
        </is>
      </c>
      <c r="AW232" t="inlineStr">
        <is>
          <t>991000436379702656</t>
        </is>
      </c>
      <c r="AX232" t="inlineStr">
        <is>
          <t>991000436379702656</t>
        </is>
      </c>
      <c r="AY232" t="inlineStr">
        <is>
          <t>2269876930002656</t>
        </is>
      </c>
      <c r="AZ232" t="inlineStr">
        <is>
          <t>BOOK</t>
        </is>
      </c>
      <c r="BB232" t="inlineStr">
        <is>
          <t>9780534037895</t>
        </is>
      </c>
      <c r="BC232" t="inlineStr">
        <is>
          <t>32285001759967</t>
        </is>
      </c>
      <c r="BD232" t="inlineStr">
        <is>
          <t>893502478</t>
        </is>
      </c>
    </row>
    <row r="233">
      <c r="A233" t="inlineStr">
        <is>
          <t>No</t>
        </is>
      </c>
      <c r="B233" t="inlineStr">
        <is>
          <t>HV41 .K7</t>
        </is>
      </c>
      <c r="C233" t="inlineStr">
        <is>
          <t>0                      HV 0041000K  7</t>
        </is>
      </c>
      <c r="D233" t="inlineStr">
        <is>
          <t>Readings in community organization practice [by] Ralph M. Kramer [and] Harry Specht.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Kramer, Ralph M. compiler.</t>
        </is>
      </c>
      <c r="L233" t="inlineStr">
        <is>
          <t>Englewood Cliffs, N.J., Prentice-Hall [1969]</t>
        </is>
      </c>
      <c r="M233" t="inlineStr">
        <is>
          <t>1969</t>
        </is>
      </c>
      <c r="O233" t="inlineStr">
        <is>
          <t>eng</t>
        </is>
      </c>
      <c r="P233" t="inlineStr">
        <is>
          <t>nju</t>
        </is>
      </c>
      <c r="R233" t="inlineStr">
        <is>
          <t xml:space="preserve">HV </t>
        </is>
      </c>
      <c r="S233" t="n">
        <v>4</v>
      </c>
      <c r="T233" t="n">
        <v>4</v>
      </c>
      <c r="U233" t="inlineStr">
        <is>
          <t>2007-04-25</t>
        </is>
      </c>
      <c r="V233" t="inlineStr">
        <is>
          <t>2007-04-25</t>
        </is>
      </c>
      <c r="W233" t="inlineStr">
        <is>
          <t>1997-08-20</t>
        </is>
      </c>
      <c r="X233" t="inlineStr">
        <is>
          <t>1997-08-20</t>
        </is>
      </c>
      <c r="Y233" t="n">
        <v>521</v>
      </c>
      <c r="Z233" t="n">
        <v>385</v>
      </c>
      <c r="AA233" t="n">
        <v>631</v>
      </c>
      <c r="AB233" t="n">
        <v>4</v>
      </c>
      <c r="AC233" t="n">
        <v>6</v>
      </c>
      <c r="AD233" t="n">
        <v>13</v>
      </c>
      <c r="AE233" t="n">
        <v>26</v>
      </c>
      <c r="AF233" t="n">
        <v>3</v>
      </c>
      <c r="AG233" t="n">
        <v>9</v>
      </c>
      <c r="AH233" t="n">
        <v>4</v>
      </c>
      <c r="AI233" t="n">
        <v>5</v>
      </c>
      <c r="AJ233" t="n">
        <v>6</v>
      </c>
      <c r="AK233" t="n">
        <v>13</v>
      </c>
      <c r="AL233" t="n">
        <v>3</v>
      </c>
      <c r="AM233" t="n">
        <v>4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HYPERLINK("http://catalog.hathitrust.org/Record/000803226","HathiTrust Record")</f>
        <v/>
      </c>
      <c r="AS233">
        <f>HYPERLINK("https://creighton-primo.hosted.exlibrisgroup.com/primo-explore/search?tab=default_tab&amp;search_scope=EVERYTHING&amp;vid=01CRU&amp;lang=en_US&amp;offset=0&amp;query=any,contains,991000054359702656","Catalog Record")</f>
        <v/>
      </c>
      <c r="AT233">
        <f>HYPERLINK("http://www.worldcat.org/oclc/23266","WorldCat Record")</f>
        <v/>
      </c>
      <c r="AU233" t="inlineStr">
        <is>
          <t>1145446:eng</t>
        </is>
      </c>
      <c r="AV233" t="inlineStr">
        <is>
          <t>23266</t>
        </is>
      </c>
      <c r="AW233" t="inlineStr">
        <is>
          <t>991000054359702656</t>
        </is>
      </c>
      <c r="AX233" t="inlineStr">
        <is>
          <t>991000054359702656</t>
        </is>
      </c>
      <c r="AY233" t="inlineStr">
        <is>
          <t>2267663760002656</t>
        </is>
      </c>
      <c r="AZ233" t="inlineStr">
        <is>
          <t>BOOK</t>
        </is>
      </c>
      <c r="BB233" t="inlineStr">
        <is>
          <t>9780137557776</t>
        </is>
      </c>
      <c r="BC233" t="inlineStr">
        <is>
          <t>32285003155032</t>
        </is>
      </c>
      <c r="BD233" t="inlineStr">
        <is>
          <t>893419150</t>
        </is>
      </c>
    </row>
    <row r="234">
      <c r="A234" t="inlineStr">
        <is>
          <t>No</t>
        </is>
      </c>
      <c r="B234" t="inlineStr">
        <is>
          <t>HV41 .N345</t>
        </is>
      </c>
      <c r="C234" t="inlineStr">
        <is>
          <t>0                      HV 0041000N  345</t>
        </is>
      </c>
      <c r="D234" t="inlineStr">
        <is>
          <t>Neighborhood organization for community action. John B. Turner, editor.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New York, National Association of Social Workers [1968]</t>
        </is>
      </c>
      <c r="M234" t="inlineStr">
        <is>
          <t>1968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HV </t>
        </is>
      </c>
      <c r="S234" t="n">
        <v>2</v>
      </c>
      <c r="T234" t="n">
        <v>2</v>
      </c>
      <c r="U234" t="inlineStr">
        <is>
          <t>2007-04-25</t>
        </is>
      </c>
      <c r="V234" t="inlineStr">
        <is>
          <t>2007-04-25</t>
        </is>
      </c>
      <c r="W234" t="inlineStr">
        <is>
          <t>1997-08-20</t>
        </is>
      </c>
      <c r="X234" t="inlineStr">
        <is>
          <t>1997-08-20</t>
        </is>
      </c>
      <c r="Y234" t="n">
        <v>374</v>
      </c>
      <c r="Z234" t="n">
        <v>317</v>
      </c>
      <c r="AA234" t="n">
        <v>321</v>
      </c>
      <c r="AB234" t="n">
        <v>3</v>
      </c>
      <c r="AC234" t="n">
        <v>3</v>
      </c>
      <c r="AD234" t="n">
        <v>17</v>
      </c>
      <c r="AE234" t="n">
        <v>17</v>
      </c>
      <c r="AF234" t="n">
        <v>4</v>
      </c>
      <c r="AG234" t="n">
        <v>4</v>
      </c>
      <c r="AH234" t="n">
        <v>4</v>
      </c>
      <c r="AI234" t="n">
        <v>4</v>
      </c>
      <c r="AJ234" t="n">
        <v>11</v>
      </c>
      <c r="AK234" t="n">
        <v>11</v>
      </c>
      <c r="AL234" t="n">
        <v>2</v>
      </c>
      <c r="AM234" t="n">
        <v>2</v>
      </c>
      <c r="AN234" t="n">
        <v>1</v>
      </c>
      <c r="AO234" t="n">
        <v>1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HYPERLINK("http://catalog.hathitrust.org/Record/000002669","HathiTrust Record")</f>
        <v/>
      </c>
      <c r="AS234">
        <f>HYPERLINK("https://creighton-primo.hosted.exlibrisgroup.com/primo-explore/search?tab=default_tab&amp;search_scope=EVERYTHING&amp;vid=01CRU&amp;lang=en_US&amp;offset=0&amp;query=any,contains,991001085289702656","Catalog Record")</f>
        <v/>
      </c>
      <c r="AT234">
        <f>HYPERLINK("http://www.worldcat.org/oclc/180061","WorldCat Record")</f>
        <v/>
      </c>
      <c r="AU234" t="inlineStr">
        <is>
          <t>422396260:eng</t>
        </is>
      </c>
      <c r="AV234" t="inlineStr">
        <is>
          <t>180061</t>
        </is>
      </c>
      <c r="AW234" t="inlineStr">
        <is>
          <t>991001085289702656</t>
        </is>
      </c>
      <c r="AX234" t="inlineStr">
        <is>
          <t>991001085289702656</t>
        </is>
      </c>
      <c r="AY234" t="inlineStr">
        <is>
          <t>2272033510002656</t>
        </is>
      </c>
      <c r="AZ234" t="inlineStr">
        <is>
          <t>BOOK</t>
        </is>
      </c>
      <c r="BC234" t="inlineStr">
        <is>
          <t>32285003155065</t>
        </is>
      </c>
      <c r="BD234" t="inlineStr">
        <is>
          <t>893249954</t>
        </is>
      </c>
    </row>
    <row r="235">
      <c r="A235" t="inlineStr">
        <is>
          <t>No</t>
        </is>
      </c>
      <c r="B235" t="inlineStr">
        <is>
          <t>HV41 .S825 1979</t>
        </is>
      </c>
      <c r="C235" t="inlineStr">
        <is>
          <t>0                      HV 0041000S  825         1979</t>
        </is>
      </c>
      <c r="D235" t="inlineStr">
        <is>
          <t>Psychoanalytic theory and social work practice / Herbert S. Strean.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Strean, Herbert S.</t>
        </is>
      </c>
      <c r="L235" t="inlineStr">
        <is>
          <t>New York : Free Press, c1979.</t>
        </is>
      </c>
      <c r="M235" t="inlineStr">
        <is>
          <t>1979</t>
        </is>
      </c>
      <c r="O235" t="inlineStr">
        <is>
          <t>eng</t>
        </is>
      </c>
      <c r="P235" t="inlineStr">
        <is>
          <t>nyu</t>
        </is>
      </c>
      <c r="Q235" t="inlineStr">
        <is>
          <t>Treatment approaches in the human services</t>
        </is>
      </c>
      <c r="R235" t="inlineStr">
        <is>
          <t xml:space="preserve">HV </t>
        </is>
      </c>
      <c r="S235" t="n">
        <v>2</v>
      </c>
      <c r="T235" t="n">
        <v>2</v>
      </c>
      <c r="U235" t="inlineStr">
        <is>
          <t>2010-04-22</t>
        </is>
      </c>
      <c r="V235" t="inlineStr">
        <is>
          <t>2010-04-22</t>
        </is>
      </c>
      <c r="W235" t="inlineStr">
        <is>
          <t>1993-05-14</t>
        </is>
      </c>
      <c r="X235" t="inlineStr">
        <is>
          <t>1993-05-14</t>
        </is>
      </c>
      <c r="Y235" t="n">
        <v>414</v>
      </c>
      <c r="Z235" t="n">
        <v>345</v>
      </c>
      <c r="AA235" t="n">
        <v>351</v>
      </c>
      <c r="AB235" t="n">
        <v>6</v>
      </c>
      <c r="AC235" t="n">
        <v>6</v>
      </c>
      <c r="AD235" t="n">
        <v>23</v>
      </c>
      <c r="AE235" t="n">
        <v>23</v>
      </c>
      <c r="AF235" t="n">
        <v>9</v>
      </c>
      <c r="AG235" t="n">
        <v>9</v>
      </c>
      <c r="AH235" t="n">
        <v>4</v>
      </c>
      <c r="AI235" t="n">
        <v>4</v>
      </c>
      <c r="AJ235" t="n">
        <v>10</v>
      </c>
      <c r="AK235" t="n">
        <v>10</v>
      </c>
      <c r="AL235" t="n">
        <v>5</v>
      </c>
      <c r="AM235" t="n">
        <v>5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HYPERLINK("http://catalog.hathitrust.org/Record/000180620","HathiTrust Record")</f>
        <v/>
      </c>
      <c r="AS235">
        <f>HYPERLINK("https://creighton-primo.hosted.exlibrisgroup.com/primo-explore/search?tab=default_tab&amp;search_scope=EVERYTHING&amp;vid=01CRU&amp;lang=en_US&amp;offset=0&amp;query=any,contains,991004722229702656","Catalog Record")</f>
        <v/>
      </c>
      <c r="AT235">
        <f>HYPERLINK("http://www.worldcat.org/oclc/4804729","WorldCat Record")</f>
        <v/>
      </c>
      <c r="AU235" t="inlineStr">
        <is>
          <t>400840:eng</t>
        </is>
      </c>
      <c r="AV235" t="inlineStr">
        <is>
          <t>4804729</t>
        </is>
      </c>
      <c r="AW235" t="inlineStr">
        <is>
          <t>991004722229702656</t>
        </is>
      </c>
      <c r="AX235" t="inlineStr">
        <is>
          <t>991004722229702656</t>
        </is>
      </c>
      <c r="AY235" t="inlineStr">
        <is>
          <t>2270339900002656</t>
        </is>
      </c>
      <c r="AZ235" t="inlineStr">
        <is>
          <t>BOOK</t>
        </is>
      </c>
      <c r="BB235" t="inlineStr">
        <is>
          <t>9780029322208</t>
        </is>
      </c>
      <c r="BC235" t="inlineStr">
        <is>
          <t>32285001680569</t>
        </is>
      </c>
      <c r="BD235" t="inlineStr">
        <is>
          <t>893263398</t>
        </is>
      </c>
    </row>
    <row r="236">
      <c r="A236" t="inlineStr">
        <is>
          <t>No</t>
        </is>
      </c>
      <c r="B236" t="inlineStr">
        <is>
          <t>HV41 .S88</t>
        </is>
      </c>
      <c r="C236" t="inlineStr">
        <is>
          <t>0                      HV 0041000S  88</t>
        </is>
      </c>
      <c r="D236" t="inlineStr">
        <is>
          <t>Managing social service systems / John W. Sutherland.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Sutherland, John W.</t>
        </is>
      </c>
      <c r="L236" t="inlineStr">
        <is>
          <t>New York : PBI, c1977.</t>
        </is>
      </c>
      <c r="M236" t="inlineStr">
        <is>
          <t>1977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HV </t>
        </is>
      </c>
      <c r="S236" t="n">
        <v>1</v>
      </c>
      <c r="T236" t="n">
        <v>1</v>
      </c>
      <c r="U236" t="inlineStr">
        <is>
          <t>2003-09-23</t>
        </is>
      </c>
      <c r="V236" t="inlineStr">
        <is>
          <t>2003-09-23</t>
        </is>
      </c>
      <c r="W236" t="inlineStr">
        <is>
          <t>1997-08-20</t>
        </is>
      </c>
      <c r="X236" t="inlineStr">
        <is>
          <t>1997-08-20</t>
        </is>
      </c>
      <c r="Y236" t="n">
        <v>269</v>
      </c>
      <c r="Z236" t="n">
        <v>230</v>
      </c>
      <c r="AA236" t="n">
        <v>232</v>
      </c>
      <c r="AB236" t="n">
        <v>4</v>
      </c>
      <c r="AC236" t="n">
        <v>4</v>
      </c>
      <c r="AD236" t="n">
        <v>13</v>
      </c>
      <c r="AE236" t="n">
        <v>13</v>
      </c>
      <c r="AF236" t="n">
        <v>4</v>
      </c>
      <c r="AG236" t="n">
        <v>4</v>
      </c>
      <c r="AH236" t="n">
        <v>3</v>
      </c>
      <c r="AI236" t="n">
        <v>3</v>
      </c>
      <c r="AJ236" t="n">
        <v>7</v>
      </c>
      <c r="AK236" t="n">
        <v>7</v>
      </c>
      <c r="AL236" t="n">
        <v>2</v>
      </c>
      <c r="AM236" t="n">
        <v>2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HYPERLINK("http://catalog.hathitrust.org/Record/000293762","HathiTrust Record")</f>
        <v/>
      </c>
      <c r="AS236">
        <f>HYPERLINK("https://creighton-primo.hosted.exlibrisgroup.com/primo-explore/search?tab=default_tab&amp;search_scope=EVERYTHING&amp;vid=01CRU&amp;lang=en_US&amp;offset=0&amp;query=any,contains,991004364879702656","Catalog Record")</f>
        <v/>
      </c>
      <c r="AT236">
        <f>HYPERLINK("http://www.worldcat.org/oclc/3169083","WorldCat Record")</f>
        <v/>
      </c>
      <c r="AU236" t="inlineStr">
        <is>
          <t>8170220:eng</t>
        </is>
      </c>
      <c r="AV236" t="inlineStr">
        <is>
          <t>3169083</t>
        </is>
      </c>
      <c r="AW236" t="inlineStr">
        <is>
          <t>991004364879702656</t>
        </is>
      </c>
      <c r="AX236" t="inlineStr">
        <is>
          <t>991004364879702656</t>
        </is>
      </c>
      <c r="AY236" t="inlineStr">
        <is>
          <t>2263095090002656</t>
        </is>
      </c>
      <c r="AZ236" t="inlineStr">
        <is>
          <t>BOOK</t>
        </is>
      </c>
      <c r="BB236" t="inlineStr">
        <is>
          <t>9780894330049</t>
        </is>
      </c>
      <c r="BC236" t="inlineStr">
        <is>
          <t>32285003155149</t>
        </is>
      </c>
      <c r="BD236" t="inlineStr">
        <is>
          <t>893806984</t>
        </is>
      </c>
    </row>
    <row r="237">
      <c r="A237" t="inlineStr">
        <is>
          <t>No</t>
        </is>
      </c>
      <c r="B237" t="inlineStr">
        <is>
          <t>HV413 .A69 1993</t>
        </is>
      </c>
      <c r="C237" t="inlineStr">
        <is>
          <t>0                      HV 0413000A  69          1993</t>
        </is>
      </c>
      <c r="D237" t="inlineStr">
        <is>
          <t>Welfare policy and politics in Japan : beyond the developmental state / Stephen J. Anderson.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Anderson, Stephen J. (Stephen John), 1957-</t>
        </is>
      </c>
      <c r="L237" t="inlineStr">
        <is>
          <t>New York, N.Y. : Paragon House, 1993.</t>
        </is>
      </c>
      <c r="M237" t="inlineStr">
        <is>
          <t>1993</t>
        </is>
      </c>
      <c r="N237" t="inlineStr">
        <is>
          <t>1st ed.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HV </t>
        </is>
      </c>
      <c r="S237" t="n">
        <v>12</v>
      </c>
      <c r="T237" t="n">
        <v>12</v>
      </c>
      <c r="U237" t="inlineStr">
        <is>
          <t>1998-10-07</t>
        </is>
      </c>
      <c r="V237" t="inlineStr">
        <is>
          <t>1998-10-07</t>
        </is>
      </c>
      <c r="W237" t="inlineStr">
        <is>
          <t>1995-05-17</t>
        </is>
      </c>
      <c r="X237" t="inlineStr">
        <is>
          <t>1995-05-17</t>
        </is>
      </c>
      <c r="Y237" t="n">
        <v>274</v>
      </c>
      <c r="Z237" t="n">
        <v>215</v>
      </c>
      <c r="AA237" t="n">
        <v>220</v>
      </c>
      <c r="AB237" t="n">
        <v>4</v>
      </c>
      <c r="AC237" t="n">
        <v>4</v>
      </c>
      <c r="AD237" t="n">
        <v>12</v>
      </c>
      <c r="AE237" t="n">
        <v>12</v>
      </c>
      <c r="AF237" t="n">
        <v>2</v>
      </c>
      <c r="AG237" t="n">
        <v>2</v>
      </c>
      <c r="AH237" t="n">
        <v>3</v>
      </c>
      <c r="AI237" t="n">
        <v>3</v>
      </c>
      <c r="AJ237" t="n">
        <v>7</v>
      </c>
      <c r="AK237" t="n">
        <v>7</v>
      </c>
      <c r="AL237" t="n">
        <v>3</v>
      </c>
      <c r="AM237" t="n">
        <v>3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HYPERLINK("https://creighton-primo.hosted.exlibrisgroup.com/primo-explore/search?tab=default_tab&amp;search_scope=EVERYTHING&amp;vid=01CRU&amp;lang=en_US&amp;offset=0&amp;query=any,contains,991002029289702656","Catalog Record")</f>
        <v/>
      </c>
      <c r="AT237">
        <f>HYPERLINK("http://www.worldcat.org/oclc/25832896","WorldCat Record")</f>
        <v/>
      </c>
      <c r="AU237" t="inlineStr">
        <is>
          <t>370842446:eng</t>
        </is>
      </c>
      <c r="AV237" t="inlineStr">
        <is>
          <t>25832896</t>
        </is>
      </c>
      <c r="AW237" t="inlineStr">
        <is>
          <t>991002029289702656</t>
        </is>
      </c>
      <c r="AX237" t="inlineStr">
        <is>
          <t>991002029289702656</t>
        </is>
      </c>
      <c r="AY237" t="inlineStr">
        <is>
          <t>2264189880002656</t>
        </is>
      </c>
      <c r="AZ237" t="inlineStr">
        <is>
          <t>BOOK</t>
        </is>
      </c>
      <c r="BB237" t="inlineStr">
        <is>
          <t>9781557785718</t>
        </is>
      </c>
      <c r="BC237" t="inlineStr">
        <is>
          <t>32285002045523</t>
        </is>
      </c>
      <c r="BD237" t="inlineStr">
        <is>
          <t>893709785</t>
        </is>
      </c>
    </row>
    <row r="238">
      <c r="A238" t="inlineStr">
        <is>
          <t>No</t>
        </is>
      </c>
      <c r="B238" t="inlineStr">
        <is>
          <t>HV4132.56.A5 B39 1997</t>
        </is>
      </c>
      <c r="C238" t="inlineStr">
        <is>
          <t>0                      HV 4132560A  5                  B  39          1997</t>
        </is>
      </c>
      <c r="D238" t="inlineStr">
        <is>
          <t>Street politics : poor people's movements in Iran / Asef Bayat.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Bayat, Asef.</t>
        </is>
      </c>
      <c r="L238" t="inlineStr">
        <is>
          <t>New York : Columbia University Press, c1997.</t>
        </is>
      </c>
      <c r="M238" t="inlineStr">
        <is>
          <t>1997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HV </t>
        </is>
      </c>
      <c r="S238" t="n">
        <v>3</v>
      </c>
      <c r="T238" t="n">
        <v>3</v>
      </c>
      <c r="U238" t="inlineStr">
        <is>
          <t>2004-02-20</t>
        </is>
      </c>
      <c r="V238" t="inlineStr">
        <is>
          <t>2004-02-20</t>
        </is>
      </c>
      <c r="W238" t="inlineStr">
        <is>
          <t>2002-10-08</t>
        </is>
      </c>
      <c r="X238" t="inlineStr">
        <is>
          <t>2002-10-08</t>
        </is>
      </c>
      <c r="Y238" t="n">
        <v>370</v>
      </c>
      <c r="Z238" t="n">
        <v>271</v>
      </c>
      <c r="AA238" t="n">
        <v>276</v>
      </c>
      <c r="AB238" t="n">
        <v>3</v>
      </c>
      <c r="AC238" t="n">
        <v>3</v>
      </c>
      <c r="AD238" t="n">
        <v>17</v>
      </c>
      <c r="AE238" t="n">
        <v>17</v>
      </c>
      <c r="AF238" t="n">
        <v>6</v>
      </c>
      <c r="AG238" t="n">
        <v>6</v>
      </c>
      <c r="AH238" t="n">
        <v>7</v>
      </c>
      <c r="AI238" t="n">
        <v>7</v>
      </c>
      <c r="AJ238" t="n">
        <v>8</v>
      </c>
      <c r="AK238" t="n">
        <v>8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HYPERLINK("https://creighton-primo.hosted.exlibrisgroup.com/primo-explore/search?tab=default_tab&amp;search_scope=EVERYTHING&amp;vid=01CRU&amp;lang=en_US&amp;offset=0&amp;query=any,contains,991003904459702656","Catalog Record")</f>
        <v/>
      </c>
      <c r="AT238">
        <f>HYPERLINK("http://www.worldcat.org/oclc/36876093","WorldCat Record")</f>
        <v/>
      </c>
      <c r="AU238" t="inlineStr">
        <is>
          <t>337278895:eng</t>
        </is>
      </c>
      <c r="AV238" t="inlineStr">
        <is>
          <t>36876093</t>
        </is>
      </c>
      <c r="AW238" t="inlineStr">
        <is>
          <t>991003904459702656</t>
        </is>
      </c>
      <c r="AX238" t="inlineStr">
        <is>
          <t>991003904459702656</t>
        </is>
      </c>
      <c r="AY238" t="inlineStr">
        <is>
          <t>2255871220002656</t>
        </is>
      </c>
      <c r="AZ238" t="inlineStr">
        <is>
          <t>BOOK</t>
        </is>
      </c>
      <c r="BB238" t="inlineStr">
        <is>
          <t>9780231108584</t>
        </is>
      </c>
      <c r="BC238" t="inlineStr">
        <is>
          <t>32285004653274</t>
        </is>
      </c>
      <c r="BD238" t="inlineStr">
        <is>
          <t>893875441</t>
        </is>
      </c>
    </row>
    <row r="239">
      <c r="A239" t="inlineStr">
        <is>
          <t>No</t>
        </is>
      </c>
      <c r="B239" t="inlineStr">
        <is>
          <t>HV4156.5.A5 Q3713 1981</t>
        </is>
      </c>
      <c r="C239" t="inlineStr">
        <is>
          <t>0                      HV 4156500A  5                  Q  3713        1981</t>
        </is>
      </c>
      <c r="D239" t="inlineStr">
        <is>
          <t>Economic security in Islam / by Yūsuf al-Qarḍāwi ; rendered into English by Muḥammad Iqbāl Ṣiddiqi.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Qaraḍāwī, Yūsuf.</t>
        </is>
      </c>
      <c r="L239" t="inlineStr">
        <is>
          <t>Lahore : Kazi Publications, 1981.</t>
        </is>
      </c>
      <c r="M239" t="inlineStr">
        <is>
          <t>1981</t>
        </is>
      </c>
      <c r="N239" t="inlineStr">
        <is>
          <t>1st ed.</t>
        </is>
      </c>
      <c r="O239" t="inlineStr">
        <is>
          <t>eng</t>
        </is>
      </c>
      <c r="P239" t="inlineStr">
        <is>
          <t xml:space="preserve">pk </t>
        </is>
      </c>
      <c r="R239" t="inlineStr">
        <is>
          <t xml:space="preserve">HV </t>
        </is>
      </c>
      <c r="S239" t="n">
        <v>8</v>
      </c>
      <c r="T239" t="n">
        <v>8</v>
      </c>
      <c r="U239" t="inlineStr">
        <is>
          <t>1999-10-26</t>
        </is>
      </c>
      <c r="V239" t="inlineStr">
        <is>
          <t>1999-10-26</t>
        </is>
      </c>
      <c r="W239" t="inlineStr">
        <is>
          <t>1990-05-03</t>
        </is>
      </c>
      <c r="X239" t="inlineStr">
        <is>
          <t>1990-05-03</t>
        </is>
      </c>
      <c r="Y239" t="n">
        <v>55</v>
      </c>
      <c r="Z239" t="n">
        <v>44</v>
      </c>
      <c r="AA239" t="n">
        <v>45</v>
      </c>
      <c r="AB239" t="n">
        <v>1</v>
      </c>
      <c r="AC239" t="n">
        <v>1</v>
      </c>
      <c r="AD239" t="n">
        <v>2</v>
      </c>
      <c r="AE239" t="n">
        <v>2</v>
      </c>
      <c r="AF239" t="n">
        <v>0</v>
      </c>
      <c r="AG239" t="n">
        <v>0</v>
      </c>
      <c r="AH239" t="n">
        <v>1</v>
      </c>
      <c r="AI239" t="n">
        <v>1</v>
      </c>
      <c r="AJ239" t="n">
        <v>2</v>
      </c>
      <c r="AK239" t="n">
        <v>2</v>
      </c>
      <c r="AL239" t="n">
        <v>0</v>
      </c>
      <c r="AM239" t="n">
        <v>0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HYPERLINK("https://creighton-primo.hosted.exlibrisgroup.com/primo-explore/search?tab=default_tab&amp;search_scope=EVERYTHING&amp;vid=01CRU&amp;lang=en_US&amp;offset=0&amp;query=any,contains,991000176829702656","Catalog Record")</f>
        <v/>
      </c>
      <c r="AT239">
        <f>HYPERLINK("http://www.worldcat.org/oclc/9353011","WorldCat Record")</f>
        <v/>
      </c>
      <c r="AU239" t="inlineStr">
        <is>
          <t>973118602:eng</t>
        </is>
      </c>
      <c r="AV239" t="inlineStr">
        <is>
          <t>9353011</t>
        </is>
      </c>
      <c r="AW239" t="inlineStr">
        <is>
          <t>991000176829702656</t>
        </is>
      </c>
      <c r="AX239" t="inlineStr">
        <is>
          <t>991000176829702656</t>
        </is>
      </c>
      <c r="AY239" t="inlineStr">
        <is>
          <t>2263324430002656</t>
        </is>
      </c>
      <c r="AZ239" t="inlineStr">
        <is>
          <t>BOOK</t>
        </is>
      </c>
      <c r="BC239" t="inlineStr">
        <is>
          <t>32285000148089</t>
        </is>
      </c>
      <c r="BD239" t="inlineStr">
        <is>
          <t>893327098</t>
        </is>
      </c>
    </row>
    <row r="240">
      <c r="A240" t="inlineStr">
        <is>
          <t>No</t>
        </is>
      </c>
      <c r="B240" t="inlineStr">
        <is>
          <t>HV4196.C4 A4</t>
        </is>
      </c>
      <c r="C240" t="inlineStr">
        <is>
          <t>0                      HV 4196000C  4                  A  4</t>
        </is>
      </c>
      <c r="D240" t="inlineStr">
        <is>
          <t>Twenty years at Hull-House, with autobiographical notes, by Jane Addams, with illustrations by Norah Hamilton.</t>
        </is>
      </c>
      <c r="F240" t="inlineStr">
        <is>
          <t>No</t>
        </is>
      </c>
      <c r="G240" t="inlineStr">
        <is>
          <t>1</t>
        </is>
      </c>
      <c r="H240" t="inlineStr">
        <is>
          <t>Yes</t>
        </is>
      </c>
      <c r="I240" t="inlineStr">
        <is>
          <t>Yes</t>
        </is>
      </c>
      <c r="J240" t="inlineStr">
        <is>
          <t>0</t>
        </is>
      </c>
      <c r="K240" t="inlineStr">
        <is>
          <t>Addams, Jane, 1860-1935.</t>
        </is>
      </c>
      <c r="L240" t="inlineStr">
        <is>
          <t>New York, The Macmillan Co., 1910.</t>
        </is>
      </c>
      <c r="M240" t="inlineStr">
        <is>
          <t>1910</t>
        </is>
      </c>
      <c r="O240" t="inlineStr">
        <is>
          <t>eng</t>
        </is>
      </c>
      <c r="P240" t="inlineStr">
        <is>
          <t>nyu</t>
        </is>
      </c>
      <c r="R240" t="inlineStr">
        <is>
          <t xml:space="preserve">HV </t>
        </is>
      </c>
      <c r="S240" t="n">
        <v>2</v>
      </c>
      <c r="T240" t="n">
        <v>3</v>
      </c>
      <c r="U240" t="inlineStr">
        <is>
          <t>2005-11-01</t>
        </is>
      </c>
      <c r="V240" t="inlineStr">
        <is>
          <t>2005-11-01</t>
        </is>
      </c>
      <c r="W240" t="inlineStr">
        <is>
          <t>1997-08-22</t>
        </is>
      </c>
      <c r="X240" t="inlineStr">
        <is>
          <t>1997-08-22</t>
        </is>
      </c>
      <c r="Y240" t="n">
        <v>990</v>
      </c>
      <c r="Z240" t="n">
        <v>933</v>
      </c>
      <c r="AA240" t="n">
        <v>3736</v>
      </c>
      <c r="AB240" t="n">
        <v>8</v>
      </c>
      <c r="AC240" t="n">
        <v>40</v>
      </c>
      <c r="AD240" t="n">
        <v>31</v>
      </c>
      <c r="AE240" t="n">
        <v>80</v>
      </c>
      <c r="AF240" t="n">
        <v>13</v>
      </c>
      <c r="AG240" t="n">
        <v>29</v>
      </c>
      <c r="AH240" t="n">
        <v>5</v>
      </c>
      <c r="AI240" t="n">
        <v>11</v>
      </c>
      <c r="AJ240" t="n">
        <v>15</v>
      </c>
      <c r="AK240" t="n">
        <v>28</v>
      </c>
      <c r="AL240" t="n">
        <v>5</v>
      </c>
      <c r="AM240" t="n">
        <v>18</v>
      </c>
      <c r="AN240" t="n">
        <v>1</v>
      </c>
      <c r="AO240" t="n">
        <v>8</v>
      </c>
      <c r="AP240" t="inlineStr">
        <is>
          <t>Yes</t>
        </is>
      </c>
      <c r="AQ240" t="inlineStr">
        <is>
          <t>No</t>
        </is>
      </c>
      <c r="AR240">
        <f>HYPERLINK("http://catalog.hathitrust.org/Record/001133341","HathiTrust Record")</f>
        <v/>
      </c>
      <c r="AS240">
        <f>HYPERLINK("https://creighton-primo.hosted.exlibrisgroup.com/primo-explore/search?tab=default_tab&amp;search_scope=EVERYTHING&amp;vid=01CRU&amp;lang=en_US&amp;offset=0&amp;query=any,contains,991001767069702656","Catalog Record")</f>
        <v/>
      </c>
      <c r="AT240">
        <f>HYPERLINK("http://www.worldcat.org/oclc/4224813","WorldCat Record")</f>
        <v/>
      </c>
      <c r="AU240" t="inlineStr">
        <is>
          <t>1088286563:eng</t>
        </is>
      </c>
      <c r="AV240" t="inlineStr">
        <is>
          <t>4224813</t>
        </is>
      </c>
      <c r="AW240" t="inlineStr">
        <is>
          <t>991001767069702656</t>
        </is>
      </c>
      <c r="AX240" t="inlineStr">
        <is>
          <t>991001767069702656</t>
        </is>
      </c>
      <c r="AY240" t="inlineStr">
        <is>
          <t>2260714530002656</t>
        </is>
      </c>
      <c r="AZ240" t="inlineStr">
        <is>
          <t>BOOK</t>
        </is>
      </c>
      <c r="BC240" t="inlineStr">
        <is>
          <t>32285003157392</t>
        </is>
      </c>
      <c r="BD240" t="inlineStr">
        <is>
          <t>893772891</t>
        </is>
      </c>
    </row>
    <row r="241">
      <c r="A241" t="inlineStr">
        <is>
          <t>No</t>
        </is>
      </c>
      <c r="B241" t="inlineStr">
        <is>
          <t>HV4196.C4 H74</t>
        </is>
      </c>
      <c r="C241" t="inlineStr">
        <is>
          <t>0                      HV 4196000C  4                  H  74</t>
        </is>
      </c>
      <c r="D241" t="inlineStr">
        <is>
          <t>Eighty years at Hull-House / edited by Allen F. Davis and Mary Lynn McCree.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Davis, Allen Freeman, 1931- compiler.</t>
        </is>
      </c>
      <c r="L241" t="inlineStr">
        <is>
          <t>Chicago : Quadrangle Books, 1969.</t>
        </is>
      </c>
      <c r="M241" t="inlineStr">
        <is>
          <t>1969</t>
        </is>
      </c>
      <c r="O241" t="inlineStr">
        <is>
          <t>eng</t>
        </is>
      </c>
      <c r="P241" t="inlineStr">
        <is>
          <t>ilu</t>
        </is>
      </c>
      <c r="R241" t="inlineStr">
        <is>
          <t xml:space="preserve">HV </t>
        </is>
      </c>
      <c r="S241" t="n">
        <v>5</v>
      </c>
      <c r="T241" t="n">
        <v>5</v>
      </c>
      <c r="U241" t="inlineStr">
        <is>
          <t>1999-10-01</t>
        </is>
      </c>
      <c r="V241" t="inlineStr">
        <is>
          <t>1999-10-01</t>
        </is>
      </c>
      <c r="W241" t="inlineStr">
        <is>
          <t>1990-12-28</t>
        </is>
      </c>
      <c r="X241" t="inlineStr">
        <is>
          <t>1990-12-28</t>
        </is>
      </c>
      <c r="Y241" t="n">
        <v>724</v>
      </c>
      <c r="Z241" t="n">
        <v>673</v>
      </c>
      <c r="AA241" t="n">
        <v>679</v>
      </c>
      <c r="AB241" t="n">
        <v>4</v>
      </c>
      <c r="AC241" t="n">
        <v>4</v>
      </c>
      <c r="AD241" t="n">
        <v>23</v>
      </c>
      <c r="AE241" t="n">
        <v>23</v>
      </c>
      <c r="AF241" t="n">
        <v>10</v>
      </c>
      <c r="AG241" t="n">
        <v>10</v>
      </c>
      <c r="AH241" t="n">
        <v>6</v>
      </c>
      <c r="AI241" t="n">
        <v>6</v>
      </c>
      <c r="AJ241" t="n">
        <v>9</v>
      </c>
      <c r="AK241" t="n">
        <v>9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HYPERLINK("http://catalog.hathitrust.org/Record/001133343","HathiTrust Record")</f>
        <v/>
      </c>
      <c r="AS241">
        <f>HYPERLINK("https://creighton-primo.hosted.exlibrisgroup.com/primo-explore/search?tab=default_tab&amp;search_scope=EVERYTHING&amp;vid=01CRU&amp;lang=en_US&amp;offset=0&amp;query=any,contains,991000109219702656","Catalog Record")</f>
        <v/>
      </c>
      <c r="AT241">
        <f>HYPERLINK("http://www.worldcat.org/oclc/47423","WorldCat Record")</f>
        <v/>
      </c>
      <c r="AU241" t="inlineStr">
        <is>
          <t>1216920:eng</t>
        </is>
      </c>
      <c r="AV241" t="inlineStr">
        <is>
          <t>47423</t>
        </is>
      </c>
      <c r="AW241" t="inlineStr">
        <is>
          <t>991000109219702656</t>
        </is>
      </c>
      <c r="AX241" t="inlineStr">
        <is>
          <t>991000109219702656</t>
        </is>
      </c>
      <c r="AY241" t="inlineStr">
        <is>
          <t>2262374130002656</t>
        </is>
      </c>
      <c r="AZ241" t="inlineStr">
        <is>
          <t>BOOK</t>
        </is>
      </c>
      <c r="BC241" t="inlineStr">
        <is>
          <t>32285000426196</t>
        </is>
      </c>
      <c r="BD241" t="inlineStr">
        <is>
          <t>893871406</t>
        </is>
      </c>
    </row>
    <row r="242">
      <c r="A242" t="inlineStr">
        <is>
          <t>No</t>
        </is>
      </c>
      <c r="B242" t="inlineStr">
        <is>
          <t>HV43 .A79 1993</t>
        </is>
      </c>
      <c r="C242" t="inlineStr">
        <is>
          <t>0                      HV 0043000A  79          1993</t>
        </is>
      </c>
      <c r="D242" t="inlineStr">
        <is>
          <t>Assessment : a sourcebook for social work practice / Julia B. Rauch, editor.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Milwaukee, Wis. : Families International, c1993.</t>
        </is>
      </c>
      <c r="M242" t="inlineStr">
        <is>
          <t>1993</t>
        </is>
      </c>
      <c r="O242" t="inlineStr">
        <is>
          <t>eng</t>
        </is>
      </c>
      <c r="P242" t="inlineStr">
        <is>
          <t>wiu</t>
        </is>
      </c>
      <c r="R242" t="inlineStr">
        <is>
          <t xml:space="preserve">HV </t>
        </is>
      </c>
      <c r="S242" t="n">
        <v>2</v>
      </c>
      <c r="T242" t="n">
        <v>2</v>
      </c>
      <c r="U242" t="inlineStr">
        <is>
          <t>2000-09-11</t>
        </is>
      </c>
      <c r="V242" t="inlineStr">
        <is>
          <t>2000-09-11</t>
        </is>
      </c>
      <c r="W242" t="inlineStr">
        <is>
          <t>1996-12-05</t>
        </is>
      </c>
      <c r="X242" t="inlineStr">
        <is>
          <t>1996-12-05</t>
        </is>
      </c>
      <c r="Y242" t="n">
        <v>232</v>
      </c>
      <c r="Z242" t="n">
        <v>200</v>
      </c>
      <c r="AA242" t="n">
        <v>206</v>
      </c>
      <c r="AB242" t="n">
        <v>2</v>
      </c>
      <c r="AC242" t="n">
        <v>2</v>
      </c>
      <c r="AD242" t="n">
        <v>9</v>
      </c>
      <c r="AE242" t="n">
        <v>9</v>
      </c>
      <c r="AF242" t="n">
        <v>3</v>
      </c>
      <c r="AG242" t="n">
        <v>3</v>
      </c>
      <c r="AH242" t="n">
        <v>1</v>
      </c>
      <c r="AI242" t="n">
        <v>1</v>
      </c>
      <c r="AJ242" t="n">
        <v>5</v>
      </c>
      <c r="AK242" t="n">
        <v>5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HYPERLINK("http://catalog.hathitrust.org/Record/002784345","HathiTrust Record")</f>
        <v/>
      </c>
      <c r="AS242">
        <f>HYPERLINK("https://creighton-primo.hosted.exlibrisgroup.com/primo-explore/search?tab=default_tab&amp;search_scope=EVERYTHING&amp;vid=01CRU&amp;lang=en_US&amp;offset=0&amp;query=any,contains,991002219989702656","Catalog Record")</f>
        <v/>
      </c>
      <c r="AT242">
        <f>HYPERLINK("http://www.worldcat.org/oclc/28586654","WorldCat Record")</f>
        <v/>
      </c>
      <c r="AU242" t="inlineStr">
        <is>
          <t>181273108:eng</t>
        </is>
      </c>
      <c r="AV242" t="inlineStr">
        <is>
          <t>28586654</t>
        </is>
      </c>
      <c r="AW242" t="inlineStr">
        <is>
          <t>991002219989702656</t>
        </is>
      </c>
      <c r="AX242" t="inlineStr">
        <is>
          <t>991002219989702656</t>
        </is>
      </c>
      <c r="AY242" t="inlineStr">
        <is>
          <t>2263793040002656</t>
        </is>
      </c>
      <c r="AZ242" t="inlineStr">
        <is>
          <t>BOOK</t>
        </is>
      </c>
      <c r="BB242" t="inlineStr">
        <is>
          <t>9780873042673</t>
        </is>
      </c>
      <c r="BC242" t="inlineStr">
        <is>
          <t>32285002388519</t>
        </is>
      </c>
      <c r="BD242" t="inlineStr">
        <is>
          <t>893697495</t>
        </is>
      </c>
    </row>
    <row r="243">
      <c r="A243" t="inlineStr">
        <is>
          <t>No</t>
        </is>
      </c>
      <c r="B243" t="inlineStr">
        <is>
          <t>HV43 .B45 1985</t>
        </is>
      </c>
      <c r="C243" t="inlineStr">
        <is>
          <t>0                      HV 0043000B  45          1985</t>
        </is>
      </c>
      <c r="D243" t="inlineStr">
        <is>
          <t>Human behavior, a perspective for the helping professions / Robert L. Berger and Ronald C. Federico.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Berger, Robert, 1937-</t>
        </is>
      </c>
      <c r="L243" t="inlineStr">
        <is>
          <t>New York : Longman, c1985.</t>
        </is>
      </c>
      <c r="M243" t="inlineStr">
        <is>
          <t>1985</t>
        </is>
      </c>
      <c r="N243" t="inlineStr">
        <is>
          <t>2nd ed.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HV </t>
        </is>
      </c>
      <c r="S243" t="n">
        <v>2</v>
      </c>
      <c r="T243" t="n">
        <v>2</v>
      </c>
      <c r="U243" t="inlineStr">
        <is>
          <t>2004-11-03</t>
        </is>
      </c>
      <c r="V243" t="inlineStr">
        <is>
          <t>2004-11-03</t>
        </is>
      </c>
      <c r="W243" t="inlineStr">
        <is>
          <t>1993-10-12</t>
        </is>
      </c>
      <c r="X243" t="inlineStr">
        <is>
          <t>1993-10-12</t>
        </is>
      </c>
      <c r="Y243" t="n">
        <v>207</v>
      </c>
      <c r="Z243" t="n">
        <v>163</v>
      </c>
      <c r="AA243" t="n">
        <v>321</v>
      </c>
      <c r="AB243" t="n">
        <v>2</v>
      </c>
      <c r="AC243" t="n">
        <v>3</v>
      </c>
      <c r="AD243" t="n">
        <v>6</v>
      </c>
      <c r="AE243" t="n">
        <v>15</v>
      </c>
      <c r="AF243" t="n">
        <v>0</v>
      </c>
      <c r="AG243" t="n">
        <v>3</v>
      </c>
      <c r="AH243" t="n">
        <v>1</v>
      </c>
      <c r="AI243" t="n">
        <v>4</v>
      </c>
      <c r="AJ243" t="n">
        <v>4</v>
      </c>
      <c r="AK243" t="n">
        <v>7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HYPERLINK("http://catalog.hathitrust.org/Record/000462252","HathiTrust Record")</f>
        <v/>
      </c>
      <c r="AS243">
        <f>HYPERLINK("https://creighton-primo.hosted.exlibrisgroup.com/primo-explore/search?tab=default_tab&amp;search_scope=EVERYTHING&amp;vid=01CRU&amp;lang=en_US&amp;offset=0&amp;query=any,contains,991000462899702656","Catalog Record")</f>
        <v/>
      </c>
      <c r="AT243">
        <f>HYPERLINK("http://www.worldcat.org/oclc/10948757","WorldCat Record")</f>
        <v/>
      </c>
      <c r="AU243" t="inlineStr">
        <is>
          <t>3751403:eng</t>
        </is>
      </c>
      <c r="AV243" t="inlineStr">
        <is>
          <t>10948757</t>
        </is>
      </c>
      <c r="AW243" t="inlineStr">
        <is>
          <t>991000462899702656</t>
        </is>
      </c>
      <c r="AX243" t="inlineStr">
        <is>
          <t>991000462899702656</t>
        </is>
      </c>
      <c r="AY243" t="inlineStr">
        <is>
          <t>2272635580002656</t>
        </is>
      </c>
      <c r="AZ243" t="inlineStr">
        <is>
          <t>BOOK</t>
        </is>
      </c>
      <c r="BB243" t="inlineStr">
        <is>
          <t>9780582285217</t>
        </is>
      </c>
      <c r="BC243" t="inlineStr">
        <is>
          <t>32285001759942</t>
        </is>
      </c>
      <c r="BD243" t="inlineStr">
        <is>
          <t>893884402</t>
        </is>
      </c>
    </row>
    <row r="244">
      <c r="A244" t="inlineStr">
        <is>
          <t>No</t>
        </is>
      </c>
      <c r="B244" t="inlineStr">
        <is>
          <t>HV43 .C516 1999</t>
        </is>
      </c>
      <c r="C244" t="inlineStr">
        <is>
          <t>0                      HV 0043000C  516         1999</t>
        </is>
      </c>
      <c r="D244" t="inlineStr">
        <is>
          <t>Solution-based casework : an introduction to clinical and case management skills in casework practice / Dana N. Christensen, Jeffrey Todahl, William C. Barrett.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Christensen, Dana N., 1950-</t>
        </is>
      </c>
      <c r="L244" t="inlineStr">
        <is>
          <t>New York : Aldine de Gruyter, c1999.</t>
        </is>
      </c>
      <c r="M244" t="inlineStr">
        <is>
          <t>1999</t>
        </is>
      </c>
      <c r="O244" t="inlineStr">
        <is>
          <t>eng</t>
        </is>
      </c>
      <c r="P244" t="inlineStr">
        <is>
          <t>nyu</t>
        </is>
      </c>
      <c r="Q244" t="inlineStr">
        <is>
          <t>Modern applications of social work</t>
        </is>
      </c>
      <c r="R244" t="inlineStr">
        <is>
          <t xml:space="preserve">HV </t>
        </is>
      </c>
      <c r="S244" t="n">
        <v>1</v>
      </c>
      <c r="T244" t="n">
        <v>1</v>
      </c>
      <c r="U244" t="inlineStr">
        <is>
          <t>2005-12-09</t>
        </is>
      </c>
      <c r="V244" t="inlineStr">
        <is>
          <t>2005-12-09</t>
        </is>
      </c>
      <c r="W244" t="inlineStr">
        <is>
          <t>1999-12-20</t>
        </is>
      </c>
      <c r="X244" t="inlineStr">
        <is>
          <t>1999-12-20</t>
        </is>
      </c>
      <c r="Y244" t="n">
        <v>292</v>
      </c>
      <c r="Z244" t="n">
        <v>242</v>
      </c>
      <c r="AA244" t="n">
        <v>264</v>
      </c>
      <c r="AB244" t="n">
        <v>4</v>
      </c>
      <c r="AC244" t="n">
        <v>4</v>
      </c>
      <c r="AD244" t="n">
        <v>11</v>
      </c>
      <c r="AE244" t="n">
        <v>11</v>
      </c>
      <c r="AF244" t="n">
        <v>3</v>
      </c>
      <c r="AG244" t="n">
        <v>3</v>
      </c>
      <c r="AH244" t="n">
        <v>1</v>
      </c>
      <c r="AI244" t="n">
        <v>1</v>
      </c>
      <c r="AJ244" t="n">
        <v>5</v>
      </c>
      <c r="AK244" t="n">
        <v>5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HYPERLINK("https://creighton-primo.hosted.exlibrisgroup.com/primo-explore/search?tab=default_tab&amp;search_scope=EVERYTHING&amp;vid=01CRU&amp;lang=en_US&amp;offset=0&amp;query=any,contains,991003016379702656","Catalog Record")</f>
        <v/>
      </c>
      <c r="AT244">
        <f>HYPERLINK("http://www.worldcat.org/oclc/41035439","WorldCat Record")</f>
        <v/>
      </c>
      <c r="AU244" t="inlineStr">
        <is>
          <t>477675897:eng</t>
        </is>
      </c>
      <c r="AV244" t="inlineStr">
        <is>
          <t>41035439</t>
        </is>
      </c>
      <c r="AW244" t="inlineStr">
        <is>
          <t>991003016379702656</t>
        </is>
      </c>
      <c r="AX244" t="inlineStr">
        <is>
          <t>991003016379702656</t>
        </is>
      </c>
      <c r="AY244" t="inlineStr">
        <is>
          <t>2257780440002656</t>
        </is>
      </c>
      <c r="AZ244" t="inlineStr">
        <is>
          <t>BOOK</t>
        </is>
      </c>
      <c r="BB244" t="inlineStr">
        <is>
          <t>9780202361178</t>
        </is>
      </c>
      <c r="BC244" t="inlineStr">
        <is>
          <t>32285003634663</t>
        </is>
      </c>
      <c r="BD244" t="inlineStr">
        <is>
          <t>893721755</t>
        </is>
      </c>
    </row>
    <row r="245">
      <c r="A245" t="inlineStr">
        <is>
          <t>No</t>
        </is>
      </c>
      <c r="B245" t="inlineStr">
        <is>
          <t>HV43 .E2</t>
        </is>
      </c>
      <c r="C245" t="inlineStr">
        <is>
          <t>0                      HV 0043000E  2</t>
        </is>
      </c>
      <c r="D245" t="inlineStr">
        <is>
          <t>Early supports for family life: a social work experiment, by Ludwig L. Geismar [and others]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Metuchen, N.J., Scarecrow Press, 1972.</t>
        </is>
      </c>
      <c r="M245" t="inlineStr">
        <is>
          <t>1972</t>
        </is>
      </c>
      <c r="O245" t="inlineStr">
        <is>
          <t>eng</t>
        </is>
      </c>
      <c r="P245" t="inlineStr">
        <is>
          <t>nju</t>
        </is>
      </c>
      <c r="R245" t="inlineStr">
        <is>
          <t xml:space="preserve">HV </t>
        </is>
      </c>
      <c r="S245" t="n">
        <v>1</v>
      </c>
      <c r="T245" t="n">
        <v>1</v>
      </c>
      <c r="U245" t="inlineStr">
        <is>
          <t>2010-04-22</t>
        </is>
      </c>
      <c r="V245" t="inlineStr">
        <is>
          <t>2010-04-22</t>
        </is>
      </c>
      <c r="W245" t="inlineStr">
        <is>
          <t>1997-08-20</t>
        </is>
      </c>
      <c r="X245" t="inlineStr">
        <is>
          <t>1997-08-20</t>
        </is>
      </c>
      <c r="Y245" t="n">
        <v>297</v>
      </c>
      <c r="Z245" t="n">
        <v>252</v>
      </c>
      <c r="AA245" t="n">
        <v>258</v>
      </c>
      <c r="AB245" t="n">
        <v>4</v>
      </c>
      <c r="AC245" t="n">
        <v>4</v>
      </c>
      <c r="AD245" t="n">
        <v>11</v>
      </c>
      <c r="AE245" t="n">
        <v>11</v>
      </c>
      <c r="AF245" t="n">
        <v>2</v>
      </c>
      <c r="AG245" t="n">
        <v>2</v>
      </c>
      <c r="AH245" t="n">
        <v>2</v>
      </c>
      <c r="AI245" t="n">
        <v>2</v>
      </c>
      <c r="AJ245" t="n">
        <v>6</v>
      </c>
      <c r="AK245" t="n">
        <v>6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HYPERLINK("http://catalog.hathitrust.org/Record/001131514","HathiTrust Record")</f>
        <v/>
      </c>
      <c r="AS245">
        <f>HYPERLINK("https://creighton-primo.hosted.exlibrisgroup.com/primo-explore/search?tab=default_tab&amp;search_scope=EVERYTHING&amp;vid=01CRU&amp;lang=en_US&amp;offset=0&amp;query=any,contains,991002107969702656","Catalog Record")</f>
        <v/>
      </c>
      <c r="AT245">
        <f>HYPERLINK("http://www.worldcat.org/oclc/266815","WorldCat Record")</f>
        <v/>
      </c>
      <c r="AU245" t="inlineStr">
        <is>
          <t>894509856:eng</t>
        </is>
      </c>
      <c r="AV245" t="inlineStr">
        <is>
          <t>266815</t>
        </is>
      </c>
      <c r="AW245" t="inlineStr">
        <is>
          <t>991002107969702656</t>
        </is>
      </c>
      <c r="AX245" t="inlineStr">
        <is>
          <t>991002107969702656</t>
        </is>
      </c>
      <c r="AY245" t="inlineStr">
        <is>
          <t>2269132780002656</t>
        </is>
      </c>
      <c r="AZ245" t="inlineStr">
        <is>
          <t>BOOK</t>
        </is>
      </c>
      <c r="BB245" t="inlineStr">
        <is>
          <t>9780810804760</t>
        </is>
      </c>
      <c r="BC245" t="inlineStr">
        <is>
          <t>32285003155222</t>
        </is>
      </c>
      <c r="BD245" t="inlineStr">
        <is>
          <t>893232598</t>
        </is>
      </c>
    </row>
    <row r="246">
      <c r="A246" t="inlineStr">
        <is>
          <t>No</t>
        </is>
      </c>
      <c r="B246" t="inlineStr">
        <is>
          <t>HV43 .E67 1992</t>
        </is>
      </c>
      <c r="C246" t="inlineStr">
        <is>
          <t>0                      HV 0043000E  67          1992</t>
        </is>
      </c>
      <c r="D246" t="inlineStr">
        <is>
          <t>Brief treatment and a new look at the task-centered approach / Laura Epstein.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Epstein, Laura.</t>
        </is>
      </c>
      <c r="L246" t="inlineStr">
        <is>
          <t>New York : Macmillan ; Toronto : Maxwell Macmillan Canada ; New York : Maxwell Macmillan International, c1992.</t>
        </is>
      </c>
      <c r="M246" t="inlineStr">
        <is>
          <t>1992</t>
        </is>
      </c>
      <c r="N246" t="inlineStr">
        <is>
          <t>3rd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HV </t>
        </is>
      </c>
      <c r="S246" t="n">
        <v>2</v>
      </c>
      <c r="T246" t="n">
        <v>2</v>
      </c>
      <c r="U246" t="inlineStr">
        <is>
          <t>2010-04-22</t>
        </is>
      </c>
      <c r="V246" t="inlineStr">
        <is>
          <t>2010-04-22</t>
        </is>
      </c>
      <c r="W246" t="inlineStr">
        <is>
          <t>1992-08-31</t>
        </is>
      </c>
      <c r="X246" t="inlineStr">
        <is>
          <t>1992-08-31</t>
        </is>
      </c>
      <c r="Y246" t="n">
        <v>187</v>
      </c>
      <c r="Z246" t="n">
        <v>162</v>
      </c>
      <c r="AA246" t="n">
        <v>176</v>
      </c>
      <c r="AB246" t="n">
        <v>4</v>
      </c>
      <c r="AC246" t="n">
        <v>4</v>
      </c>
      <c r="AD246" t="n">
        <v>10</v>
      </c>
      <c r="AE246" t="n">
        <v>10</v>
      </c>
      <c r="AF246" t="n">
        <v>1</v>
      </c>
      <c r="AG246" t="n">
        <v>1</v>
      </c>
      <c r="AH246" t="n">
        <v>2</v>
      </c>
      <c r="AI246" t="n">
        <v>2</v>
      </c>
      <c r="AJ246" t="n">
        <v>6</v>
      </c>
      <c r="AK246" t="n">
        <v>6</v>
      </c>
      <c r="AL246" t="n">
        <v>3</v>
      </c>
      <c r="AM246" t="n">
        <v>3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HYPERLINK("http://catalog.hathitrust.org/Record/100027984","HathiTrust Record")</f>
        <v/>
      </c>
      <c r="AS246">
        <f>HYPERLINK("https://creighton-primo.hosted.exlibrisgroup.com/primo-explore/search?tab=default_tab&amp;search_scope=EVERYTHING&amp;vid=01CRU&amp;lang=en_US&amp;offset=0&amp;query=any,contains,991001911669702656","Catalog Record")</f>
        <v/>
      </c>
      <c r="AT246">
        <f>HYPERLINK("http://www.worldcat.org/oclc/24142958","WorldCat Record")</f>
        <v/>
      </c>
      <c r="AU246" t="inlineStr">
        <is>
          <t>4160767114:eng</t>
        </is>
      </c>
      <c r="AV246" t="inlineStr">
        <is>
          <t>24142958</t>
        </is>
      </c>
      <c r="AW246" t="inlineStr">
        <is>
          <t>991001911669702656</t>
        </is>
      </c>
      <c r="AX246" t="inlineStr">
        <is>
          <t>991001911669702656</t>
        </is>
      </c>
      <c r="AY246" t="inlineStr">
        <is>
          <t>2265960940002656</t>
        </is>
      </c>
      <c r="AZ246" t="inlineStr">
        <is>
          <t>BOOK</t>
        </is>
      </c>
      <c r="BB246" t="inlineStr">
        <is>
          <t>9780023339707</t>
        </is>
      </c>
      <c r="BC246" t="inlineStr">
        <is>
          <t>32285001199818</t>
        </is>
      </c>
      <c r="BD246" t="inlineStr">
        <is>
          <t>893316153</t>
        </is>
      </c>
    </row>
    <row r="247">
      <c r="A247" t="inlineStr">
        <is>
          <t>No</t>
        </is>
      </c>
      <c r="B247" t="inlineStr">
        <is>
          <t>HV43 .G86 2003</t>
        </is>
      </c>
      <c r="C247" t="inlineStr">
        <is>
          <t>0                      HV 0043000G  86          2003</t>
        </is>
      </c>
      <c r="D247" t="inlineStr">
        <is>
          <t>Case management : policy, practice and professional business / Di Gursansky, Judy Harvey, Rosemary Kennedy.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Gursansky, Di.</t>
        </is>
      </c>
      <c r="L247" t="inlineStr">
        <is>
          <t>New York : Columbia University Press, 2003.</t>
        </is>
      </c>
      <c r="M247" t="inlineStr">
        <is>
          <t>2003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HV </t>
        </is>
      </c>
      <c r="S247" t="n">
        <v>1</v>
      </c>
      <c r="T247" t="n">
        <v>1</v>
      </c>
      <c r="U247" t="inlineStr">
        <is>
          <t>2006-06-20</t>
        </is>
      </c>
      <c r="V247" t="inlineStr">
        <is>
          <t>2006-06-20</t>
        </is>
      </c>
      <c r="W247" t="inlineStr">
        <is>
          <t>2006-02-15</t>
        </is>
      </c>
      <c r="X247" t="inlineStr">
        <is>
          <t>2006-02-15</t>
        </is>
      </c>
      <c r="Y247" t="n">
        <v>270</v>
      </c>
      <c r="Z247" t="n">
        <v>216</v>
      </c>
      <c r="AA247" t="n">
        <v>830</v>
      </c>
      <c r="AB247" t="n">
        <v>3</v>
      </c>
      <c r="AC247" t="n">
        <v>28</v>
      </c>
      <c r="AD247" t="n">
        <v>13</v>
      </c>
      <c r="AE247" t="n">
        <v>30</v>
      </c>
      <c r="AF247" t="n">
        <v>5</v>
      </c>
      <c r="AG247" t="n">
        <v>9</v>
      </c>
      <c r="AH247" t="n">
        <v>2</v>
      </c>
      <c r="AI247" t="n">
        <v>3</v>
      </c>
      <c r="AJ247" t="n">
        <v>6</v>
      </c>
      <c r="AK247" t="n">
        <v>8</v>
      </c>
      <c r="AL247" t="n">
        <v>2</v>
      </c>
      <c r="AM247" t="n">
        <v>13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HYPERLINK("https://creighton-primo.hosted.exlibrisgroup.com/primo-explore/search?tab=default_tab&amp;search_scope=EVERYTHING&amp;vid=01CRU&amp;lang=en_US&amp;offset=0&amp;query=any,contains,991004744189702656","Catalog Record")</f>
        <v/>
      </c>
      <c r="AT247">
        <f>HYPERLINK("http://www.worldcat.org/oclc/50859149","WorldCat Record")</f>
        <v/>
      </c>
      <c r="AU247" t="inlineStr">
        <is>
          <t>800596666:eng</t>
        </is>
      </c>
      <c r="AV247" t="inlineStr">
        <is>
          <t>50859149</t>
        </is>
      </c>
      <c r="AW247" t="inlineStr">
        <is>
          <t>991004744189702656</t>
        </is>
      </c>
      <c r="AX247" t="inlineStr">
        <is>
          <t>991004744189702656</t>
        </is>
      </c>
      <c r="AY247" t="inlineStr">
        <is>
          <t>2264368310002656</t>
        </is>
      </c>
      <c r="AZ247" t="inlineStr">
        <is>
          <t>BOOK</t>
        </is>
      </c>
      <c r="BB247" t="inlineStr">
        <is>
          <t>9780231129701</t>
        </is>
      </c>
      <c r="BC247" t="inlineStr">
        <is>
          <t>32285005191613</t>
        </is>
      </c>
      <c r="BD247" t="inlineStr">
        <is>
          <t>893612719</t>
        </is>
      </c>
    </row>
    <row r="248">
      <c r="A248" t="inlineStr">
        <is>
          <t>No</t>
        </is>
      </c>
      <c r="B248" t="inlineStr">
        <is>
          <t>HV43 .H313 1993</t>
        </is>
      </c>
      <c r="C248" t="inlineStr">
        <is>
          <t>0                      HV 0043000H  313         1993</t>
        </is>
      </c>
      <c r="D248" t="inlineStr">
        <is>
          <t>Cases for intervention planning : a source book / Molly R. Hancock, Kenneth I. Millar.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Hancock, Molly R.</t>
        </is>
      </c>
      <c r="L248" t="inlineStr">
        <is>
          <t>Chicago : Nelson-Hall, c1993.</t>
        </is>
      </c>
      <c r="M248" t="inlineStr">
        <is>
          <t>1993</t>
        </is>
      </c>
      <c r="O248" t="inlineStr">
        <is>
          <t>eng</t>
        </is>
      </c>
      <c r="P248" t="inlineStr">
        <is>
          <t>ilu</t>
        </is>
      </c>
      <c r="R248" t="inlineStr">
        <is>
          <t xml:space="preserve">HV </t>
        </is>
      </c>
      <c r="S248" t="n">
        <v>1</v>
      </c>
      <c r="T248" t="n">
        <v>1</v>
      </c>
      <c r="U248" t="inlineStr">
        <is>
          <t>2010-04-22</t>
        </is>
      </c>
      <c r="V248" t="inlineStr">
        <is>
          <t>2010-04-22</t>
        </is>
      </c>
      <c r="W248" t="inlineStr">
        <is>
          <t>1993-07-14</t>
        </is>
      </c>
      <c r="X248" t="inlineStr">
        <is>
          <t>1993-07-14</t>
        </is>
      </c>
      <c r="Y248" t="n">
        <v>179</v>
      </c>
      <c r="Z248" t="n">
        <v>153</v>
      </c>
      <c r="AA248" t="n">
        <v>156</v>
      </c>
      <c r="AB248" t="n">
        <v>2</v>
      </c>
      <c r="AC248" t="n">
        <v>2</v>
      </c>
      <c r="AD248" t="n">
        <v>7</v>
      </c>
      <c r="AE248" t="n">
        <v>7</v>
      </c>
      <c r="AF248" t="n">
        <v>1</v>
      </c>
      <c r="AG248" t="n">
        <v>1</v>
      </c>
      <c r="AH248" t="n">
        <v>3</v>
      </c>
      <c r="AI248" t="n">
        <v>3</v>
      </c>
      <c r="AJ248" t="n">
        <v>4</v>
      </c>
      <c r="AK248" t="n">
        <v>4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HYPERLINK("http://catalog.hathitrust.org/Record/002781907","HathiTrust Record")</f>
        <v/>
      </c>
      <c r="AS248">
        <f>HYPERLINK("https://creighton-primo.hosted.exlibrisgroup.com/primo-explore/search?tab=default_tab&amp;search_scope=EVERYTHING&amp;vid=01CRU&amp;lang=en_US&amp;offset=0&amp;query=any,contains,991001994129702656","Catalog Record")</f>
        <v/>
      </c>
      <c r="AT248">
        <f>HYPERLINK("http://www.worldcat.org/oclc/25317695","WorldCat Record")</f>
        <v/>
      </c>
      <c r="AU248" t="inlineStr">
        <is>
          <t>476263993:eng</t>
        </is>
      </c>
      <c r="AV248" t="inlineStr">
        <is>
          <t>25317695</t>
        </is>
      </c>
      <c r="AW248" t="inlineStr">
        <is>
          <t>991001994129702656</t>
        </is>
      </c>
      <c r="AX248" t="inlineStr">
        <is>
          <t>991001994129702656</t>
        </is>
      </c>
      <c r="AY248" t="inlineStr">
        <is>
          <t>2265477810002656</t>
        </is>
      </c>
      <c r="AZ248" t="inlineStr">
        <is>
          <t>BOOK</t>
        </is>
      </c>
      <c r="BB248" t="inlineStr">
        <is>
          <t>9780830413010</t>
        </is>
      </c>
      <c r="BC248" t="inlineStr">
        <is>
          <t>32285001702744</t>
        </is>
      </c>
      <c r="BD248" t="inlineStr">
        <is>
          <t>893603079</t>
        </is>
      </c>
    </row>
    <row r="249">
      <c r="A249" t="inlineStr">
        <is>
          <t>No</t>
        </is>
      </c>
      <c r="B249" t="inlineStr">
        <is>
          <t>HV43 .H44 1997</t>
        </is>
      </c>
      <c r="C249" t="inlineStr">
        <is>
          <t>0                      HV 0043000H  44          1997</t>
        </is>
      </c>
      <c r="D249" t="inlineStr">
        <is>
          <t>Social work practice with families : a diversity model / Lonnie R. Helton, Maggie Jackson.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Helton, Lonnie R.</t>
        </is>
      </c>
      <c r="L249" t="inlineStr">
        <is>
          <t>Boston : Allyn and Bacon, c1997.</t>
        </is>
      </c>
      <c r="M249" t="inlineStr">
        <is>
          <t>1996</t>
        </is>
      </c>
      <c r="O249" t="inlineStr">
        <is>
          <t>eng</t>
        </is>
      </c>
      <c r="P249" t="inlineStr">
        <is>
          <t>mau</t>
        </is>
      </c>
      <c r="R249" t="inlineStr">
        <is>
          <t xml:space="preserve">HV </t>
        </is>
      </c>
      <c r="S249" t="n">
        <v>3</v>
      </c>
      <c r="T249" t="n">
        <v>3</v>
      </c>
      <c r="U249" t="inlineStr">
        <is>
          <t>2010-04-22</t>
        </is>
      </c>
      <c r="V249" t="inlineStr">
        <is>
          <t>2010-04-22</t>
        </is>
      </c>
      <c r="W249" t="inlineStr">
        <is>
          <t>1997-10-15</t>
        </is>
      </c>
      <c r="X249" t="inlineStr">
        <is>
          <t>1997-10-15</t>
        </is>
      </c>
      <c r="Y249" t="n">
        <v>217</v>
      </c>
      <c r="Z249" t="n">
        <v>172</v>
      </c>
      <c r="AA249" t="n">
        <v>176</v>
      </c>
      <c r="AB249" t="n">
        <v>1</v>
      </c>
      <c r="AC249" t="n">
        <v>1</v>
      </c>
      <c r="AD249" t="n">
        <v>6</v>
      </c>
      <c r="AE249" t="n">
        <v>6</v>
      </c>
      <c r="AF249" t="n">
        <v>1</v>
      </c>
      <c r="AG249" t="n">
        <v>1</v>
      </c>
      <c r="AH249" t="n">
        <v>1</v>
      </c>
      <c r="AI249" t="n">
        <v>1</v>
      </c>
      <c r="AJ249" t="n">
        <v>5</v>
      </c>
      <c r="AK249" t="n">
        <v>5</v>
      </c>
      <c r="AL249" t="n">
        <v>0</v>
      </c>
      <c r="AM249" t="n">
        <v>0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HYPERLINK("http://catalog.hathitrust.org/Record/003085822","HathiTrust Record")</f>
        <v/>
      </c>
      <c r="AS249">
        <f>HYPERLINK("https://creighton-primo.hosted.exlibrisgroup.com/primo-explore/search?tab=default_tab&amp;search_scope=EVERYTHING&amp;vid=01CRU&amp;lang=en_US&amp;offset=0&amp;query=any,contains,991002625459702656","Catalog Record")</f>
        <v/>
      </c>
      <c r="AT249">
        <f>HYPERLINK("http://www.worldcat.org/oclc/34411669","WorldCat Record")</f>
        <v/>
      </c>
      <c r="AU249" t="inlineStr">
        <is>
          <t>311904636:eng</t>
        </is>
      </c>
      <c r="AV249" t="inlineStr">
        <is>
          <t>34411669</t>
        </is>
      </c>
      <c r="AW249" t="inlineStr">
        <is>
          <t>991002625459702656</t>
        </is>
      </c>
      <c r="AX249" t="inlineStr">
        <is>
          <t>991002625459702656</t>
        </is>
      </c>
      <c r="AY249" t="inlineStr">
        <is>
          <t>2263195820002656</t>
        </is>
      </c>
      <c r="AZ249" t="inlineStr">
        <is>
          <t>BOOK</t>
        </is>
      </c>
      <c r="BB249" t="inlineStr">
        <is>
          <t>9780205167043</t>
        </is>
      </c>
      <c r="BC249" t="inlineStr">
        <is>
          <t>32285003254546</t>
        </is>
      </c>
      <c r="BD249" t="inlineStr">
        <is>
          <t>893335521</t>
        </is>
      </c>
    </row>
    <row r="250">
      <c r="A250" t="inlineStr">
        <is>
          <t>No</t>
        </is>
      </c>
      <c r="B250" t="inlineStr">
        <is>
          <t>HV43 .L53 1999</t>
        </is>
      </c>
      <c r="C250" t="inlineStr">
        <is>
          <t>0                      HV 0043000L  53          1999</t>
        </is>
      </c>
      <c r="D250" t="inlineStr">
        <is>
          <t>Resolving ethical dilemmas in social work practice / Norman Linzer.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Linzer, Norman.</t>
        </is>
      </c>
      <c r="L250" t="inlineStr">
        <is>
          <t>Boston : Allyn and Bacon, c1999.</t>
        </is>
      </c>
      <c r="M250" t="inlineStr">
        <is>
          <t>1999</t>
        </is>
      </c>
      <c r="O250" t="inlineStr">
        <is>
          <t>eng</t>
        </is>
      </c>
      <c r="P250" t="inlineStr">
        <is>
          <t>mau</t>
        </is>
      </c>
      <c r="R250" t="inlineStr">
        <is>
          <t xml:space="preserve">HV </t>
        </is>
      </c>
      <c r="S250" t="n">
        <v>4</v>
      </c>
      <c r="T250" t="n">
        <v>4</v>
      </c>
      <c r="U250" t="inlineStr">
        <is>
          <t>2004-06-16</t>
        </is>
      </c>
      <c r="V250" t="inlineStr">
        <is>
          <t>2004-06-16</t>
        </is>
      </c>
      <c r="W250" t="inlineStr">
        <is>
          <t>1998-11-16</t>
        </is>
      </c>
      <c r="X250" t="inlineStr">
        <is>
          <t>1998-11-16</t>
        </is>
      </c>
      <c r="Y250" t="n">
        <v>330</v>
      </c>
      <c r="Z250" t="n">
        <v>251</v>
      </c>
      <c r="AA250" t="n">
        <v>255</v>
      </c>
      <c r="AB250" t="n">
        <v>3</v>
      </c>
      <c r="AC250" t="n">
        <v>3</v>
      </c>
      <c r="AD250" t="n">
        <v>12</v>
      </c>
      <c r="AE250" t="n">
        <v>12</v>
      </c>
      <c r="AF250" t="n">
        <v>3</v>
      </c>
      <c r="AG250" t="n">
        <v>3</v>
      </c>
      <c r="AH250" t="n">
        <v>6</v>
      </c>
      <c r="AI250" t="n">
        <v>6</v>
      </c>
      <c r="AJ250" t="n">
        <v>5</v>
      </c>
      <c r="AK250" t="n">
        <v>5</v>
      </c>
      <c r="AL250" t="n">
        <v>2</v>
      </c>
      <c r="AM250" t="n">
        <v>2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HYPERLINK("http://catalog.hathitrust.org/Record/003998172","HathiTrust Record")</f>
        <v/>
      </c>
      <c r="AS250">
        <f>HYPERLINK("https://creighton-primo.hosted.exlibrisgroup.com/primo-explore/search?tab=default_tab&amp;search_scope=EVERYTHING&amp;vid=01CRU&amp;lang=en_US&amp;offset=0&amp;query=any,contains,991002923989702656","Catalog Record")</f>
        <v/>
      </c>
      <c r="AT250">
        <f>HYPERLINK("http://www.worldcat.org/oclc/38862580","WorldCat Record")</f>
        <v/>
      </c>
      <c r="AU250" t="inlineStr">
        <is>
          <t>873906:eng</t>
        </is>
      </c>
      <c r="AV250" t="inlineStr">
        <is>
          <t>38862580</t>
        </is>
      </c>
      <c r="AW250" t="inlineStr">
        <is>
          <t>991002923989702656</t>
        </is>
      </c>
      <c r="AX250" t="inlineStr">
        <is>
          <t>991002923989702656</t>
        </is>
      </c>
      <c r="AY250" t="inlineStr">
        <is>
          <t>2258589890002656</t>
        </is>
      </c>
      <c r="AZ250" t="inlineStr">
        <is>
          <t>BOOK</t>
        </is>
      </c>
      <c r="BB250" t="inlineStr">
        <is>
          <t>9780205290413</t>
        </is>
      </c>
      <c r="BC250" t="inlineStr">
        <is>
          <t>32285003489035</t>
        </is>
      </c>
      <c r="BD250" t="inlineStr">
        <is>
          <t>893530643</t>
        </is>
      </c>
    </row>
    <row r="251">
      <c r="A251" t="inlineStr">
        <is>
          <t>No</t>
        </is>
      </c>
      <c r="B251" t="inlineStr">
        <is>
          <t>HV43 .P457</t>
        </is>
      </c>
      <c r="C251" t="inlineStr">
        <is>
          <t>0                      HV 0043000P  457</t>
        </is>
      </c>
      <c r="D251" t="inlineStr">
        <is>
          <t>Relationship, the heart of helping people / Helen Harris Perlman.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Perlman, Helen Harris.</t>
        </is>
      </c>
      <c r="L251" t="inlineStr">
        <is>
          <t>Chicago : University of Chicago Press, 1979.</t>
        </is>
      </c>
      <c r="M251" t="inlineStr">
        <is>
          <t>1979</t>
        </is>
      </c>
      <c r="O251" t="inlineStr">
        <is>
          <t>eng</t>
        </is>
      </c>
      <c r="P251" t="inlineStr">
        <is>
          <t>ilu</t>
        </is>
      </c>
      <c r="R251" t="inlineStr">
        <is>
          <t xml:space="preserve">HV </t>
        </is>
      </c>
      <c r="S251" t="n">
        <v>1</v>
      </c>
      <c r="T251" t="n">
        <v>1</v>
      </c>
      <c r="U251" t="inlineStr">
        <is>
          <t>2007-05-25</t>
        </is>
      </c>
      <c r="V251" t="inlineStr">
        <is>
          <t>2007-05-25</t>
        </is>
      </c>
      <c r="W251" t="inlineStr">
        <is>
          <t>1990-07-23</t>
        </is>
      </c>
      <c r="X251" t="inlineStr">
        <is>
          <t>1990-07-23</t>
        </is>
      </c>
      <c r="Y251" t="n">
        <v>704</v>
      </c>
      <c r="Z251" t="n">
        <v>574</v>
      </c>
      <c r="AA251" t="n">
        <v>616</v>
      </c>
      <c r="AB251" t="n">
        <v>5</v>
      </c>
      <c r="AC251" t="n">
        <v>5</v>
      </c>
      <c r="AD251" t="n">
        <v>26</v>
      </c>
      <c r="AE251" t="n">
        <v>27</v>
      </c>
      <c r="AF251" t="n">
        <v>9</v>
      </c>
      <c r="AG251" t="n">
        <v>9</v>
      </c>
      <c r="AH251" t="n">
        <v>8</v>
      </c>
      <c r="AI251" t="n">
        <v>8</v>
      </c>
      <c r="AJ251" t="n">
        <v>14</v>
      </c>
      <c r="AK251" t="n">
        <v>15</v>
      </c>
      <c r="AL251" t="n">
        <v>4</v>
      </c>
      <c r="AM251" t="n">
        <v>4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HYPERLINK("https://creighton-primo.hosted.exlibrisgroup.com/primo-explore/search?tab=default_tab&amp;search_scope=EVERYTHING&amp;vid=01CRU&amp;lang=en_US&amp;offset=0&amp;query=any,contains,991004566149702656","Catalog Record")</f>
        <v/>
      </c>
      <c r="AT251">
        <f>HYPERLINK("http://www.worldcat.org/oclc/4004569","WorldCat Record")</f>
        <v/>
      </c>
      <c r="AU251" t="inlineStr">
        <is>
          <t>13632331:eng</t>
        </is>
      </c>
      <c r="AV251" t="inlineStr">
        <is>
          <t>4004569</t>
        </is>
      </c>
      <c r="AW251" t="inlineStr">
        <is>
          <t>991004566149702656</t>
        </is>
      </c>
      <c r="AX251" t="inlineStr">
        <is>
          <t>991004566149702656</t>
        </is>
      </c>
      <c r="AY251" t="inlineStr">
        <is>
          <t>2264908980002656</t>
        </is>
      </c>
      <c r="AZ251" t="inlineStr">
        <is>
          <t>BOOK</t>
        </is>
      </c>
      <c r="BB251" t="inlineStr">
        <is>
          <t>9780226660356</t>
        </is>
      </c>
      <c r="BC251" t="inlineStr">
        <is>
          <t>32285000246446</t>
        </is>
      </c>
      <c r="BD251" t="inlineStr">
        <is>
          <t>893344000</t>
        </is>
      </c>
    </row>
    <row r="252">
      <c r="A252" t="inlineStr">
        <is>
          <t>No</t>
        </is>
      </c>
      <c r="B252" t="inlineStr">
        <is>
          <t>HV43 .R35 1993</t>
        </is>
      </c>
      <c r="C252" t="inlineStr">
        <is>
          <t>0                      HV 0043000R  35          1993</t>
        </is>
      </c>
      <c r="D252" t="inlineStr">
        <is>
          <t>Advanced case management : new strategies for the nineties / Norma Radol Raiff with Barbara K. Shore.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Raiff, Norma Radol.</t>
        </is>
      </c>
      <c r="L252" t="inlineStr">
        <is>
          <t>Newbury Park, Calif. : Sage, c1993.</t>
        </is>
      </c>
      <c r="M252" t="inlineStr">
        <is>
          <t>1993</t>
        </is>
      </c>
      <c r="O252" t="inlineStr">
        <is>
          <t>eng</t>
        </is>
      </c>
      <c r="P252" t="inlineStr">
        <is>
          <t>cau</t>
        </is>
      </c>
      <c r="Q252" t="inlineStr">
        <is>
          <t>Sage human services guides ; 66</t>
        </is>
      </c>
      <c r="R252" t="inlineStr">
        <is>
          <t xml:space="preserve">HV </t>
        </is>
      </c>
      <c r="S252" t="n">
        <v>1</v>
      </c>
      <c r="T252" t="n">
        <v>1</v>
      </c>
      <c r="U252" t="inlineStr">
        <is>
          <t>2009-10-07</t>
        </is>
      </c>
      <c r="V252" t="inlineStr">
        <is>
          <t>2009-10-07</t>
        </is>
      </c>
      <c r="W252" t="inlineStr">
        <is>
          <t>1994-01-13</t>
        </is>
      </c>
      <c r="X252" t="inlineStr">
        <is>
          <t>1994-01-13</t>
        </is>
      </c>
      <c r="Y252" t="n">
        <v>336</v>
      </c>
      <c r="Z252" t="n">
        <v>246</v>
      </c>
      <c r="AA252" t="n">
        <v>253</v>
      </c>
      <c r="AB252" t="n">
        <v>2</v>
      </c>
      <c r="AC252" t="n">
        <v>2</v>
      </c>
      <c r="AD252" t="n">
        <v>8</v>
      </c>
      <c r="AE252" t="n">
        <v>8</v>
      </c>
      <c r="AF252" t="n">
        <v>2</v>
      </c>
      <c r="AG252" t="n">
        <v>2</v>
      </c>
      <c r="AH252" t="n">
        <v>0</v>
      </c>
      <c r="AI252" t="n">
        <v>0</v>
      </c>
      <c r="AJ252" t="n">
        <v>5</v>
      </c>
      <c r="AK252" t="n">
        <v>5</v>
      </c>
      <c r="AL252" t="n">
        <v>1</v>
      </c>
      <c r="AM252" t="n">
        <v>1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HYPERLINK("http://catalog.hathitrust.org/Record/002724280","HathiTrust Record")</f>
        <v/>
      </c>
      <c r="AS252">
        <f>HYPERLINK("https://creighton-primo.hosted.exlibrisgroup.com/primo-explore/search?tab=default_tab&amp;search_scope=EVERYTHING&amp;vid=01CRU&amp;lang=en_US&amp;offset=0&amp;query=any,contains,991002202569702656","Catalog Record")</f>
        <v/>
      </c>
      <c r="AT252">
        <f>HYPERLINK("http://www.worldcat.org/oclc/28336397","WorldCat Record")</f>
        <v/>
      </c>
      <c r="AU252" t="inlineStr">
        <is>
          <t>836835879:eng</t>
        </is>
      </c>
      <c r="AV252" t="inlineStr">
        <is>
          <t>28336397</t>
        </is>
      </c>
      <c r="AW252" t="inlineStr">
        <is>
          <t>991002202569702656</t>
        </is>
      </c>
      <c r="AX252" t="inlineStr">
        <is>
          <t>991002202569702656</t>
        </is>
      </c>
      <c r="AY252" t="inlineStr">
        <is>
          <t>2261014120002656</t>
        </is>
      </c>
      <c r="AZ252" t="inlineStr">
        <is>
          <t>BOOK</t>
        </is>
      </c>
      <c r="BB252" t="inlineStr">
        <is>
          <t>9780803938724</t>
        </is>
      </c>
      <c r="BC252" t="inlineStr">
        <is>
          <t>32285001831436</t>
        </is>
      </c>
      <c r="BD252" t="inlineStr">
        <is>
          <t>893622017</t>
        </is>
      </c>
    </row>
    <row r="253">
      <c r="A253" t="inlineStr">
        <is>
          <t>No</t>
        </is>
      </c>
      <c r="B253" t="inlineStr">
        <is>
          <t>HV43 .R68 1994</t>
        </is>
      </c>
      <c r="C253" t="inlineStr">
        <is>
          <t>0                      HV 0043000R  68          1994</t>
        </is>
      </c>
      <c r="D253" t="inlineStr">
        <is>
          <t>Practice with highly vulnerable clients : case management and community-based service / Jack Rothman ; with an introductory chapter by Carel B. Germain.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Rothman, Jack.</t>
        </is>
      </c>
      <c r="L253" t="inlineStr">
        <is>
          <t>Englewood Cliffs, N.J. : Prentice Hall, 1994.</t>
        </is>
      </c>
      <c r="M253" t="inlineStr">
        <is>
          <t>1994</t>
        </is>
      </c>
      <c r="O253" t="inlineStr">
        <is>
          <t>eng</t>
        </is>
      </c>
      <c r="P253" t="inlineStr">
        <is>
          <t>nju</t>
        </is>
      </c>
      <c r="R253" t="inlineStr">
        <is>
          <t xml:space="preserve">HV </t>
        </is>
      </c>
      <c r="S253" t="n">
        <v>1</v>
      </c>
      <c r="T253" t="n">
        <v>1</v>
      </c>
      <c r="U253" t="inlineStr">
        <is>
          <t>2010-04-12</t>
        </is>
      </c>
      <c r="V253" t="inlineStr">
        <is>
          <t>2010-04-12</t>
        </is>
      </c>
      <c r="W253" t="inlineStr">
        <is>
          <t>1994-03-22</t>
        </is>
      </c>
      <c r="X253" t="inlineStr">
        <is>
          <t>1994-03-22</t>
        </is>
      </c>
      <c r="Y253" t="n">
        <v>246</v>
      </c>
      <c r="Z253" t="n">
        <v>202</v>
      </c>
      <c r="AA253" t="n">
        <v>208</v>
      </c>
      <c r="AB253" t="n">
        <v>2</v>
      </c>
      <c r="AC253" t="n">
        <v>2</v>
      </c>
      <c r="AD253" t="n">
        <v>9</v>
      </c>
      <c r="AE253" t="n">
        <v>9</v>
      </c>
      <c r="AF253" t="n">
        <v>2</v>
      </c>
      <c r="AG253" t="n">
        <v>2</v>
      </c>
      <c r="AH253" t="n">
        <v>2</v>
      </c>
      <c r="AI253" t="n">
        <v>2</v>
      </c>
      <c r="AJ253" t="n">
        <v>5</v>
      </c>
      <c r="AK253" t="n">
        <v>5</v>
      </c>
      <c r="AL253" t="n">
        <v>1</v>
      </c>
      <c r="AM253" t="n">
        <v>1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HYPERLINK("http://catalog.hathitrust.org/Record/002782519","HathiTrust Record")</f>
        <v/>
      </c>
      <c r="AS253">
        <f>HYPERLINK("https://creighton-primo.hosted.exlibrisgroup.com/primo-explore/search?tab=default_tab&amp;search_scope=EVERYTHING&amp;vid=01CRU&amp;lang=en_US&amp;offset=0&amp;query=any,contains,991002216239702656","Catalog Record")</f>
        <v/>
      </c>
      <c r="AT253">
        <f>HYPERLINK("http://www.worldcat.org/oclc/28547351","WorldCat Record")</f>
        <v/>
      </c>
      <c r="AU253" t="inlineStr">
        <is>
          <t>375575750:eng</t>
        </is>
      </c>
      <c r="AV253" t="inlineStr">
        <is>
          <t>28547351</t>
        </is>
      </c>
      <c r="AW253" t="inlineStr">
        <is>
          <t>991002216239702656</t>
        </is>
      </c>
      <c r="AX253" t="inlineStr">
        <is>
          <t>991002216239702656</t>
        </is>
      </c>
      <c r="AY253" t="inlineStr">
        <is>
          <t>2257602270002656</t>
        </is>
      </c>
      <c r="AZ253" t="inlineStr">
        <is>
          <t>BOOK</t>
        </is>
      </c>
      <c r="BB253" t="inlineStr">
        <is>
          <t>9780131190580</t>
        </is>
      </c>
      <c r="BC253" t="inlineStr">
        <is>
          <t>32285001856722</t>
        </is>
      </c>
      <c r="BD253" t="inlineStr">
        <is>
          <t>893510452</t>
        </is>
      </c>
    </row>
    <row r="254">
      <c r="A254" t="inlineStr">
        <is>
          <t>No</t>
        </is>
      </c>
      <c r="B254" t="inlineStr">
        <is>
          <t>HV43 .T6 2003</t>
        </is>
      </c>
      <c r="C254" t="inlineStr">
        <is>
          <t>0                      HV 0043000T  6           2003</t>
        </is>
      </c>
      <c r="D254" t="inlineStr">
        <is>
          <t>Generalist practice : a task-centered approach / Eleanor Reardon Tolson, William J. Reid, Charles D. Garvin.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Tolson, Eleanor Reardon, 1942-</t>
        </is>
      </c>
      <c r="L254" t="inlineStr">
        <is>
          <t>New York : Columbia University Press, c2003.</t>
        </is>
      </c>
      <c r="M254" t="inlineStr">
        <is>
          <t>2003</t>
        </is>
      </c>
      <c r="N254" t="inlineStr">
        <is>
          <t>2nd ed.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HV </t>
        </is>
      </c>
      <c r="S254" t="n">
        <v>1</v>
      </c>
      <c r="T254" t="n">
        <v>1</v>
      </c>
      <c r="U254" t="inlineStr">
        <is>
          <t>2004-01-07</t>
        </is>
      </c>
      <c r="V254" t="inlineStr">
        <is>
          <t>2004-01-07</t>
        </is>
      </c>
      <c r="W254" t="inlineStr">
        <is>
          <t>2004-01-07</t>
        </is>
      </c>
      <c r="X254" t="inlineStr">
        <is>
          <t>2004-01-07</t>
        </is>
      </c>
      <c r="Y254" t="n">
        <v>166</v>
      </c>
      <c r="Z254" t="n">
        <v>127</v>
      </c>
      <c r="AA254" t="n">
        <v>796</v>
      </c>
      <c r="AB254" t="n">
        <v>3</v>
      </c>
      <c r="AC254" t="n">
        <v>5</v>
      </c>
      <c r="AD254" t="n">
        <v>7</v>
      </c>
      <c r="AE254" t="n">
        <v>27</v>
      </c>
      <c r="AF254" t="n">
        <v>0</v>
      </c>
      <c r="AG254" t="n">
        <v>10</v>
      </c>
      <c r="AH254" t="n">
        <v>0</v>
      </c>
      <c r="AI254" t="n">
        <v>6</v>
      </c>
      <c r="AJ254" t="n">
        <v>5</v>
      </c>
      <c r="AK254" t="n">
        <v>14</v>
      </c>
      <c r="AL254" t="n">
        <v>2</v>
      </c>
      <c r="AM254" t="n">
        <v>4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HYPERLINK("https://creighton-primo.hosted.exlibrisgroup.com/primo-explore/search?tab=default_tab&amp;search_scope=EVERYTHING&amp;vid=01CRU&amp;lang=en_US&amp;offset=0&amp;query=any,contains,991004190319702656","Catalog Record")</f>
        <v/>
      </c>
      <c r="AT254">
        <f>HYPERLINK("http://www.worldcat.org/oclc/49727812","WorldCat Record")</f>
        <v/>
      </c>
      <c r="AU254" t="inlineStr">
        <is>
          <t>794164947:eng</t>
        </is>
      </c>
      <c r="AV254" t="inlineStr">
        <is>
          <t>49727812</t>
        </is>
      </c>
      <c r="AW254" t="inlineStr">
        <is>
          <t>991004190319702656</t>
        </is>
      </c>
      <c r="AX254" t="inlineStr">
        <is>
          <t>991004190319702656</t>
        </is>
      </c>
      <c r="AY254" t="inlineStr">
        <is>
          <t>2264648980002656</t>
        </is>
      </c>
      <c r="AZ254" t="inlineStr">
        <is>
          <t>BOOK</t>
        </is>
      </c>
      <c r="BB254" t="inlineStr">
        <is>
          <t>9780231121828</t>
        </is>
      </c>
      <c r="BC254" t="inlineStr">
        <is>
          <t>32285004849682</t>
        </is>
      </c>
      <c r="BD254" t="inlineStr">
        <is>
          <t>893259433</t>
        </is>
      </c>
    </row>
    <row r="255">
      <c r="A255" t="inlineStr">
        <is>
          <t>No</t>
        </is>
      </c>
      <c r="B255" t="inlineStr">
        <is>
          <t>HV43 .T75 1994</t>
        </is>
      </c>
      <c r="C255" t="inlineStr">
        <is>
          <t>0                      HV 0043000T  75          1994</t>
        </is>
      </c>
      <c r="D255" t="inlineStr">
        <is>
          <t>A primer on single-subject design for clinical social workers / by Tony Tripodi.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Tripodi, Tony.</t>
        </is>
      </c>
      <c r="L255" t="inlineStr">
        <is>
          <t>Washington, DC : NASW Press, c1994.</t>
        </is>
      </c>
      <c r="M255" t="inlineStr">
        <is>
          <t>1994</t>
        </is>
      </c>
      <c r="O255" t="inlineStr">
        <is>
          <t>eng</t>
        </is>
      </c>
      <c r="P255" t="inlineStr">
        <is>
          <t>dcu</t>
        </is>
      </c>
      <c r="R255" t="inlineStr">
        <is>
          <t xml:space="preserve">HV </t>
        </is>
      </c>
      <c r="S255" t="n">
        <v>3</v>
      </c>
      <c r="T255" t="n">
        <v>3</v>
      </c>
      <c r="U255" t="inlineStr">
        <is>
          <t>2007-11-12</t>
        </is>
      </c>
      <c r="V255" t="inlineStr">
        <is>
          <t>2007-11-12</t>
        </is>
      </c>
      <c r="W255" t="inlineStr">
        <is>
          <t>1996-10-30</t>
        </is>
      </c>
      <c r="X255" t="inlineStr">
        <is>
          <t>1996-10-30</t>
        </is>
      </c>
      <c r="Y255" t="n">
        <v>417</v>
      </c>
      <c r="Z255" t="n">
        <v>367</v>
      </c>
      <c r="AA255" t="n">
        <v>385</v>
      </c>
      <c r="AB255" t="n">
        <v>5</v>
      </c>
      <c r="AC255" t="n">
        <v>5</v>
      </c>
      <c r="AD255" t="n">
        <v>20</v>
      </c>
      <c r="AE255" t="n">
        <v>21</v>
      </c>
      <c r="AF255" t="n">
        <v>8</v>
      </c>
      <c r="AG255" t="n">
        <v>8</v>
      </c>
      <c r="AH255" t="n">
        <v>4</v>
      </c>
      <c r="AI255" t="n">
        <v>4</v>
      </c>
      <c r="AJ255" t="n">
        <v>9</v>
      </c>
      <c r="AK255" t="n">
        <v>10</v>
      </c>
      <c r="AL255" t="n">
        <v>4</v>
      </c>
      <c r="AM255" t="n">
        <v>4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HYPERLINK("http://catalog.hathitrust.org/Record/002905773","HathiTrust Record")</f>
        <v/>
      </c>
      <c r="AS255">
        <f>HYPERLINK("https://creighton-primo.hosted.exlibrisgroup.com/primo-explore/search?tab=default_tab&amp;search_scope=EVERYTHING&amp;vid=01CRU&amp;lang=en_US&amp;offset=0&amp;query=any,contains,991002363899702656","Catalog Record")</f>
        <v/>
      </c>
      <c r="AT255">
        <f>HYPERLINK("http://www.worldcat.org/oclc/30736824","WorldCat Record")</f>
        <v/>
      </c>
      <c r="AU255" t="inlineStr">
        <is>
          <t>20487907:eng</t>
        </is>
      </c>
      <c r="AV255" t="inlineStr">
        <is>
          <t>30736824</t>
        </is>
      </c>
      <c r="AW255" t="inlineStr">
        <is>
          <t>991002363899702656</t>
        </is>
      </c>
      <c r="AX255" t="inlineStr">
        <is>
          <t>991002363899702656</t>
        </is>
      </c>
      <c r="AY255" t="inlineStr">
        <is>
          <t>2262824030002656</t>
        </is>
      </c>
      <c r="AZ255" t="inlineStr">
        <is>
          <t>BOOK</t>
        </is>
      </c>
      <c r="BB255" t="inlineStr">
        <is>
          <t>9780871012388</t>
        </is>
      </c>
      <c r="BC255" t="inlineStr">
        <is>
          <t>32285002379385</t>
        </is>
      </c>
      <c r="BD255" t="inlineStr">
        <is>
          <t>893415111</t>
        </is>
      </c>
    </row>
    <row r="256">
      <c r="A256" t="inlineStr">
        <is>
          <t>No</t>
        </is>
      </c>
      <c r="B256" t="inlineStr">
        <is>
          <t>HV45 .H28</t>
        </is>
      </c>
      <c r="C256" t="inlineStr">
        <is>
          <t>0                      HV 0045000H  28</t>
        </is>
      </c>
      <c r="D256" t="inlineStr">
        <is>
          <t>Groups in social work; application of small group theory and research to social work practice / by Margaret E. Hartford.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Hartford, Margaret E.</t>
        </is>
      </c>
      <c r="L256" t="inlineStr">
        <is>
          <t>New York : Columbia University Press, c1971.</t>
        </is>
      </c>
      <c r="M256" t="inlineStr">
        <is>
          <t>1972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HV </t>
        </is>
      </c>
      <c r="S256" t="n">
        <v>3</v>
      </c>
      <c r="T256" t="n">
        <v>3</v>
      </c>
      <c r="U256" t="inlineStr">
        <is>
          <t>2007-11-21</t>
        </is>
      </c>
      <c r="V256" t="inlineStr">
        <is>
          <t>2007-11-21</t>
        </is>
      </c>
      <c r="W256" t="inlineStr">
        <is>
          <t>1990-07-23</t>
        </is>
      </c>
      <c r="X256" t="inlineStr">
        <is>
          <t>1990-07-23</t>
        </is>
      </c>
      <c r="Y256" t="n">
        <v>602</v>
      </c>
      <c r="Z256" t="n">
        <v>489</v>
      </c>
      <c r="AA256" t="n">
        <v>522</v>
      </c>
      <c r="AB256" t="n">
        <v>4</v>
      </c>
      <c r="AC256" t="n">
        <v>4</v>
      </c>
      <c r="AD256" t="n">
        <v>19</v>
      </c>
      <c r="AE256" t="n">
        <v>21</v>
      </c>
      <c r="AF256" t="n">
        <v>6</v>
      </c>
      <c r="AG256" t="n">
        <v>7</v>
      </c>
      <c r="AH256" t="n">
        <v>5</v>
      </c>
      <c r="AI256" t="n">
        <v>5</v>
      </c>
      <c r="AJ256" t="n">
        <v>10</v>
      </c>
      <c r="AK256" t="n">
        <v>11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HYPERLINK("https://creighton-primo.hosted.exlibrisgroup.com/primo-explore/search?tab=default_tab&amp;search_scope=EVERYTHING&amp;vid=01CRU&amp;lang=en_US&amp;offset=0&amp;query=any,contains,991002455469702656","Catalog Record")</f>
        <v/>
      </c>
      <c r="AT256">
        <f>HYPERLINK("http://www.worldcat.org/oclc/354131","WorldCat Record")</f>
        <v/>
      </c>
      <c r="AU256" t="inlineStr">
        <is>
          <t>419783:eng</t>
        </is>
      </c>
      <c r="AV256" t="inlineStr">
        <is>
          <t>354131</t>
        </is>
      </c>
      <c r="AW256" t="inlineStr">
        <is>
          <t>991002455469702656</t>
        </is>
      </c>
      <c r="AX256" t="inlineStr">
        <is>
          <t>991002455469702656</t>
        </is>
      </c>
      <c r="AY256" t="inlineStr">
        <is>
          <t>2266209950002656</t>
        </is>
      </c>
      <c r="AZ256" t="inlineStr">
        <is>
          <t>BOOK</t>
        </is>
      </c>
      <c r="BB256" t="inlineStr">
        <is>
          <t>9780231035484</t>
        </is>
      </c>
      <c r="BC256" t="inlineStr">
        <is>
          <t>32285000246495</t>
        </is>
      </c>
      <c r="BD256" t="inlineStr">
        <is>
          <t>893517309</t>
        </is>
      </c>
    </row>
    <row r="257">
      <c r="A257" t="inlineStr">
        <is>
          <t>No</t>
        </is>
      </c>
      <c r="B257" t="inlineStr">
        <is>
          <t>HV45 .K83 1998</t>
        </is>
      </c>
      <c r="C257" t="inlineStr">
        <is>
          <t>0                      HV 0045000K  83          1998</t>
        </is>
      </c>
      <c r="D257" t="inlineStr">
        <is>
          <t>Teaching a methods course in social work with groups / Roselle Kurland and Robert Salmon.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Kurland, Roselle.</t>
        </is>
      </c>
      <c r="L257" t="inlineStr">
        <is>
          <t>Alexandria, VA : Council on Social Work Education, c1998.</t>
        </is>
      </c>
      <c r="M257" t="inlineStr">
        <is>
          <t>1998</t>
        </is>
      </c>
      <c r="O257" t="inlineStr">
        <is>
          <t>eng</t>
        </is>
      </c>
      <c r="P257" t="inlineStr">
        <is>
          <t>vau</t>
        </is>
      </c>
      <c r="Q257" t="inlineStr">
        <is>
          <t>Strengthening group work education ; v. 1</t>
        </is>
      </c>
      <c r="R257" t="inlineStr">
        <is>
          <t xml:space="preserve">HV </t>
        </is>
      </c>
      <c r="S257" t="n">
        <v>3</v>
      </c>
      <c r="T257" t="n">
        <v>3</v>
      </c>
      <c r="U257" t="inlineStr">
        <is>
          <t>2004-09-07</t>
        </is>
      </c>
      <c r="V257" t="inlineStr">
        <is>
          <t>2004-09-07</t>
        </is>
      </c>
      <c r="W257" t="inlineStr">
        <is>
          <t>2002-02-20</t>
        </is>
      </c>
      <c r="X257" t="inlineStr">
        <is>
          <t>2002-02-20</t>
        </is>
      </c>
      <c r="Y257" t="n">
        <v>125</v>
      </c>
      <c r="Z257" t="n">
        <v>106</v>
      </c>
      <c r="AA257" t="n">
        <v>108</v>
      </c>
      <c r="AB257" t="n">
        <v>2</v>
      </c>
      <c r="AC257" t="n">
        <v>2</v>
      </c>
      <c r="AD257" t="n">
        <v>6</v>
      </c>
      <c r="AE257" t="n">
        <v>6</v>
      </c>
      <c r="AF257" t="n">
        <v>0</v>
      </c>
      <c r="AG257" t="n">
        <v>0</v>
      </c>
      <c r="AH257" t="n">
        <v>3</v>
      </c>
      <c r="AI257" t="n">
        <v>3</v>
      </c>
      <c r="AJ257" t="n">
        <v>3</v>
      </c>
      <c r="AK257" t="n">
        <v>3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HYPERLINK("http://catalog.hathitrust.org/Record/004198157","HathiTrust Record")</f>
        <v/>
      </c>
      <c r="AS257">
        <f>HYPERLINK("https://creighton-primo.hosted.exlibrisgroup.com/primo-explore/search?tab=default_tab&amp;search_scope=EVERYTHING&amp;vid=01CRU&amp;lang=en_US&amp;offset=0&amp;query=any,contains,991003638589702656","Catalog Record")</f>
        <v/>
      </c>
      <c r="AT257">
        <f>HYPERLINK("http://www.worldcat.org/oclc/38304553","WorldCat Record")</f>
        <v/>
      </c>
      <c r="AU257" t="inlineStr">
        <is>
          <t>41399458:eng</t>
        </is>
      </c>
      <c r="AV257" t="inlineStr">
        <is>
          <t>38304553</t>
        </is>
      </c>
      <c r="AW257" t="inlineStr">
        <is>
          <t>991003638589702656</t>
        </is>
      </c>
      <c r="AX257" t="inlineStr">
        <is>
          <t>991003638589702656</t>
        </is>
      </c>
      <c r="AY257" t="inlineStr">
        <is>
          <t>2258561370002656</t>
        </is>
      </c>
      <c r="AZ257" t="inlineStr">
        <is>
          <t>BOOK</t>
        </is>
      </c>
      <c r="BB257" t="inlineStr">
        <is>
          <t>9780872930605</t>
        </is>
      </c>
      <c r="BC257" t="inlineStr">
        <is>
          <t>32285004455464</t>
        </is>
      </c>
      <c r="BD257" t="inlineStr">
        <is>
          <t>893627681</t>
        </is>
      </c>
    </row>
    <row r="258">
      <c r="A258" t="inlineStr">
        <is>
          <t>No</t>
        </is>
      </c>
      <c r="B258" t="inlineStr">
        <is>
          <t>HV45 .R43 1999</t>
        </is>
      </c>
      <c r="C258" t="inlineStr">
        <is>
          <t>0                      HV 0045000R  43          1999</t>
        </is>
      </c>
      <c r="D258" t="inlineStr">
        <is>
          <t>Rebuilding communities : challenges for group work / Harvey Bertcher, Linda Farris Kurtz, Alice Lamont, editors.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Haworth Press, c1999.</t>
        </is>
      </c>
      <c r="M258" t="inlineStr">
        <is>
          <t>1999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HV </t>
        </is>
      </c>
      <c r="S258" t="n">
        <v>1</v>
      </c>
      <c r="T258" t="n">
        <v>1</v>
      </c>
      <c r="U258" t="inlineStr">
        <is>
          <t>2005-04-19</t>
        </is>
      </c>
      <c r="V258" t="inlineStr">
        <is>
          <t>2005-04-19</t>
        </is>
      </c>
      <c r="W258" t="inlineStr">
        <is>
          <t>1999-12-07</t>
        </is>
      </c>
      <c r="X258" t="inlineStr">
        <is>
          <t>1999-12-07</t>
        </is>
      </c>
      <c r="Y258" t="n">
        <v>227</v>
      </c>
      <c r="Z258" t="n">
        <v>170</v>
      </c>
      <c r="AA258" t="n">
        <v>196</v>
      </c>
      <c r="AB258" t="n">
        <v>3</v>
      </c>
      <c r="AC258" t="n">
        <v>3</v>
      </c>
      <c r="AD258" t="n">
        <v>10</v>
      </c>
      <c r="AE258" t="n">
        <v>10</v>
      </c>
      <c r="AF258" t="n">
        <v>3</v>
      </c>
      <c r="AG258" t="n">
        <v>3</v>
      </c>
      <c r="AH258" t="n">
        <v>1</v>
      </c>
      <c r="AI258" t="n">
        <v>1</v>
      </c>
      <c r="AJ258" t="n">
        <v>6</v>
      </c>
      <c r="AK258" t="n">
        <v>6</v>
      </c>
      <c r="AL258" t="n">
        <v>2</v>
      </c>
      <c r="AM258" t="n">
        <v>2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HYPERLINK("http://catalog.hathitrust.org/Record/004142524","HathiTrust Record")</f>
        <v/>
      </c>
      <c r="AS258">
        <f>HYPERLINK("https://creighton-primo.hosted.exlibrisgroup.com/primo-explore/search?tab=default_tab&amp;search_scope=EVERYTHING&amp;vid=01CRU&amp;lang=en_US&amp;offset=0&amp;query=any,contains,991003024389702656","Catalog Record")</f>
        <v/>
      </c>
      <c r="AT258">
        <f>HYPERLINK("http://www.worldcat.org/oclc/41285070","WorldCat Record")</f>
        <v/>
      </c>
      <c r="AU258" t="inlineStr">
        <is>
          <t>894514737:eng</t>
        </is>
      </c>
      <c r="AV258" t="inlineStr">
        <is>
          <t>41285070</t>
        </is>
      </c>
      <c r="AW258" t="inlineStr">
        <is>
          <t>991003024389702656</t>
        </is>
      </c>
      <c r="AX258" t="inlineStr">
        <is>
          <t>991003024389702656</t>
        </is>
      </c>
      <c r="AY258" t="inlineStr">
        <is>
          <t>2271543590002656</t>
        </is>
      </c>
      <c r="AZ258" t="inlineStr">
        <is>
          <t>BOOK</t>
        </is>
      </c>
      <c r="BB258" t="inlineStr">
        <is>
          <t>9780789007223</t>
        </is>
      </c>
      <c r="BC258" t="inlineStr">
        <is>
          <t>32285003629010</t>
        </is>
      </c>
      <c r="BD258" t="inlineStr">
        <is>
          <t>893610631</t>
        </is>
      </c>
    </row>
    <row r="259">
      <c r="A259" t="inlineStr">
        <is>
          <t>No</t>
        </is>
      </c>
      <c r="B259" t="inlineStr">
        <is>
          <t>HV45 .S95 1990</t>
        </is>
      </c>
      <c r="C259" t="inlineStr">
        <is>
          <t>0                      HV 0045000S  95          1990</t>
        </is>
      </c>
      <c r="D259" t="inlineStr">
        <is>
          <t>Working from strengths : the essence of group work : selected proceedings of the Twelfth Annual Symposium for the Advancement of Social Work with Groups, Miami, Florida, 1990 / edited by David F. Fike and Barbara Rittner.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Symposium for the Advancement of Social Work with Groups (12th : 1990 : Miami, Fla.)</t>
        </is>
      </c>
      <c r="L259" t="inlineStr">
        <is>
          <t>Miami Shores, FL : Center for Group Work Studies, Barry University, 1992.</t>
        </is>
      </c>
      <c r="M259" t="inlineStr">
        <is>
          <t>1992</t>
        </is>
      </c>
      <c r="O259" t="inlineStr">
        <is>
          <t>eng</t>
        </is>
      </c>
      <c r="P259" t="inlineStr">
        <is>
          <t>flu</t>
        </is>
      </c>
      <c r="R259" t="inlineStr">
        <is>
          <t xml:space="preserve">HV </t>
        </is>
      </c>
      <c r="S259" t="n">
        <v>3</v>
      </c>
      <c r="T259" t="n">
        <v>3</v>
      </c>
      <c r="U259" t="inlineStr">
        <is>
          <t>2007-11-12</t>
        </is>
      </c>
      <c r="V259" t="inlineStr">
        <is>
          <t>2007-11-12</t>
        </is>
      </c>
      <c r="W259" t="inlineStr">
        <is>
          <t>1996-09-11</t>
        </is>
      </c>
      <c r="X259" t="inlineStr">
        <is>
          <t>1996-09-11</t>
        </is>
      </c>
      <c r="Y259" t="n">
        <v>112</v>
      </c>
      <c r="Z259" t="n">
        <v>110</v>
      </c>
      <c r="AA259" t="n">
        <v>183</v>
      </c>
      <c r="AB259" t="n">
        <v>3</v>
      </c>
      <c r="AC259" t="n">
        <v>3</v>
      </c>
      <c r="AD259" t="n">
        <v>6</v>
      </c>
      <c r="AE259" t="n">
        <v>11</v>
      </c>
      <c r="AF259" t="n">
        <v>1</v>
      </c>
      <c r="AG259" t="n">
        <v>2</v>
      </c>
      <c r="AH259" t="n">
        <v>1</v>
      </c>
      <c r="AI259" t="n">
        <v>4</v>
      </c>
      <c r="AJ259" t="n">
        <v>2</v>
      </c>
      <c r="AK259" t="n">
        <v>5</v>
      </c>
      <c r="AL259" t="n">
        <v>2</v>
      </c>
      <c r="AM259" t="n">
        <v>2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HYPERLINK("http://catalog.hathitrust.org/Record/003107863","HathiTrust Record")</f>
        <v/>
      </c>
      <c r="AS259">
        <f>HYPERLINK("https://creighton-primo.hosted.exlibrisgroup.com/primo-explore/search?tab=default_tab&amp;search_scope=EVERYTHING&amp;vid=01CRU&amp;lang=en_US&amp;offset=0&amp;query=any,contains,991002232299702656","Catalog Record")</f>
        <v/>
      </c>
      <c r="AT259">
        <f>HYPERLINK("http://www.worldcat.org/oclc/28756377","WorldCat Record")</f>
        <v/>
      </c>
      <c r="AU259" t="inlineStr">
        <is>
          <t>1807123268:eng</t>
        </is>
      </c>
      <c r="AV259" t="inlineStr">
        <is>
          <t>28756377</t>
        </is>
      </c>
      <c r="AW259" t="inlineStr">
        <is>
          <t>991002232299702656</t>
        </is>
      </c>
      <c r="AX259" t="inlineStr">
        <is>
          <t>991002232299702656</t>
        </is>
      </c>
      <c r="AY259" t="inlineStr">
        <is>
          <t>2264587750002656</t>
        </is>
      </c>
      <c r="AZ259" t="inlineStr">
        <is>
          <t>BOOK</t>
        </is>
      </c>
      <c r="BC259" t="inlineStr">
        <is>
          <t>32285002317039</t>
        </is>
      </c>
      <c r="BD259" t="inlineStr">
        <is>
          <t>893615869</t>
        </is>
      </c>
    </row>
    <row r="260">
      <c r="A260" t="inlineStr">
        <is>
          <t>No</t>
        </is>
      </c>
      <c r="B260" t="inlineStr">
        <is>
          <t>HV45 .T37 1985</t>
        </is>
      </c>
      <c r="C260" t="inlineStr">
        <is>
          <t>0                      HV 0045000T  37          1985</t>
        </is>
      </c>
      <c r="D260" t="inlineStr">
        <is>
          <t>Task-centered practice with families and groups / Anne E. Fortune with contributors.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L260" t="inlineStr">
        <is>
          <t>New York : Springer Pub. Co., c1985.</t>
        </is>
      </c>
      <c r="M260" t="inlineStr">
        <is>
          <t>1985</t>
        </is>
      </c>
      <c r="O260" t="inlineStr">
        <is>
          <t>eng</t>
        </is>
      </c>
      <c r="P260" t="inlineStr">
        <is>
          <t>nyu</t>
        </is>
      </c>
      <c r="Q260" t="inlineStr">
        <is>
          <t>Springer series on social work ; v. 6</t>
        </is>
      </c>
      <c r="R260" t="inlineStr">
        <is>
          <t xml:space="preserve">HV </t>
        </is>
      </c>
      <c r="S260" t="n">
        <v>4</v>
      </c>
      <c r="T260" t="n">
        <v>4</v>
      </c>
      <c r="U260" t="inlineStr">
        <is>
          <t>2010-04-22</t>
        </is>
      </c>
      <c r="V260" t="inlineStr">
        <is>
          <t>2010-04-22</t>
        </is>
      </c>
      <c r="W260" t="inlineStr">
        <is>
          <t>1990-07-23</t>
        </is>
      </c>
      <c r="X260" t="inlineStr">
        <is>
          <t>1990-07-23</t>
        </is>
      </c>
      <c r="Y260" t="n">
        <v>305</v>
      </c>
      <c r="Z260" t="n">
        <v>260</v>
      </c>
      <c r="AA260" t="n">
        <v>262</v>
      </c>
      <c r="AB260" t="n">
        <v>3</v>
      </c>
      <c r="AC260" t="n">
        <v>3</v>
      </c>
      <c r="AD260" t="n">
        <v>10</v>
      </c>
      <c r="AE260" t="n">
        <v>10</v>
      </c>
      <c r="AF260" t="n">
        <v>2</v>
      </c>
      <c r="AG260" t="n">
        <v>2</v>
      </c>
      <c r="AH260" t="n">
        <v>3</v>
      </c>
      <c r="AI260" t="n">
        <v>3</v>
      </c>
      <c r="AJ260" t="n">
        <v>5</v>
      </c>
      <c r="AK260" t="n">
        <v>5</v>
      </c>
      <c r="AL260" t="n">
        <v>2</v>
      </c>
      <c r="AM260" t="n">
        <v>2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HYPERLINK("http://catalog.hathitrust.org/Record/000460693","HathiTrust Record")</f>
        <v/>
      </c>
      <c r="AS260">
        <f>HYPERLINK("https://creighton-primo.hosted.exlibrisgroup.com/primo-explore/search?tab=default_tab&amp;search_scope=EVERYTHING&amp;vid=01CRU&amp;lang=en_US&amp;offset=0&amp;query=any,contains,991000495869702656","Catalog Record")</f>
        <v/>
      </c>
      <c r="AT260">
        <f>HYPERLINK("http://www.worldcat.org/oclc/11134448","WorldCat Record")</f>
        <v/>
      </c>
      <c r="AU260" t="inlineStr">
        <is>
          <t>967121:eng</t>
        </is>
      </c>
      <c r="AV260" t="inlineStr">
        <is>
          <t>11134448</t>
        </is>
      </c>
      <c r="AW260" t="inlineStr">
        <is>
          <t>991000495869702656</t>
        </is>
      </c>
      <c r="AX260" t="inlineStr">
        <is>
          <t>991000495869702656</t>
        </is>
      </c>
      <c r="AY260" t="inlineStr">
        <is>
          <t>2254847430002656</t>
        </is>
      </c>
      <c r="AZ260" t="inlineStr">
        <is>
          <t>BOOK</t>
        </is>
      </c>
      <c r="BB260" t="inlineStr">
        <is>
          <t>9780826144607</t>
        </is>
      </c>
      <c r="BC260" t="inlineStr">
        <is>
          <t>32285000246511</t>
        </is>
      </c>
      <c r="BD260" t="inlineStr">
        <is>
          <t>893595595</t>
        </is>
      </c>
    </row>
    <row r="261">
      <c r="A261" t="inlineStr">
        <is>
          <t>No</t>
        </is>
      </c>
      <c r="B261" t="inlineStr">
        <is>
          <t>HV45 .T68 1995</t>
        </is>
      </c>
      <c r="C261" t="inlineStr">
        <is>
          <t>0                      HV 0045000T  68          1995</t>
        </is>
      </c>
      <c r="D261" t="inlineStr">
        <is>
          <t>An introduction to group work practice / Ronald W. Toseland, Robert F. Rivas.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Toseland, Ronald W.</t>
        </is>
      </c>
      <c r="L261" t="inlineStr">
        <is>
          <t>Boston : Allyn and Bacon, 1995.</t>
        </is>
      </c>
      <c r="M261" t="inlineStr">
        <is>
          <t>1995</t>
        </is>
      </c>
      <c r="N261" t="inlineStr">
        <is>
          <t>2nd ed.</t>
        </is>
      </c>
      <c r="O261" t="inlineStr">
        <is>
          <t>eng</t>
        </is>
      </c>
      <c r="P261" t="inlineStr">
        <is>
          <t>mau</t>
        </is>
      </c>
      <c r="R261" t="inlineStr">
        <is>
          <t xml:space="preserve">HV </t>
        </is>
      </c>
      <c r="S261" t="n">
        <v>1</v>
      </c>
      <c r="T261" t="n">
        <v>1</v>
      </c>
      <c r="U261" t="inlineStr">
        <is>
          <t>2001-10-31</t>
        </is>
      </c>
      <c r="V261" t="inlineStr">
        <is>
          <t>2001-10-31</t>
        </is>
      </c>
      <c r="W261" t="inlineStr">
        <is>
          <t>2001-10-30</t>
        </is>
      </c>
      <c r="X261" t="inlineStr">
        <is>
          <t>2001-10-30</t>
        </is>
      </c>
      <c r="Y261" t="n">
        <v>138</v>
      </c>
      <c r="Z261" t="n">
        <v>103</v>
      </c>
      <c r="AA261" t="n">
        <v>485</v>
      </c>
      <c r="AB261" t="n">
        <v>1</v>
      </c>
      <c r="AC261" t="n">
        <v>3</v>
      </c>
      <c r="AD261" t="n">
        <v>5</v>
      </c>
      <c r="AE261" t="n">
        <v>17</v>
      </c>
      <c r="AF261" t="n">
        <v>0</v>
      </c>
      <c r="AG261" t="n">
        <v>3</v>
      </c>
      <c r="AH261" t="n">
        <v>2</v>
      </c>
      <c r="AI261" t="n">
        <v>5</v>
      </c>
      <c r="AJ261" t="n">
        <v>3</v>
      </c>
      <c r="AK261" t="n">
        <v>10</v>
      </c>
      <c r="AL261" t="n">
        <v>0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HYPERLINK("http://catalog.hathitrust.org/Record/003054544","HathiTrust Record")</f>
        <v/>
      </c>
      <c r="AS261">
        <f>HYPERLINK("https://creighton-primo.hosted.exlibrisgroup.com/primo-explore/search?tab=default_tab&amp;search_scope=EVERYTHING&amp;vid=01CRU&amp;lang=en_US&amp;offset=0&amp;query=any,contains,991003660269702656","Catalog Record")</f>
        <v/>
      </c>
      <c r="AT261">
        <f>HYPERLINK("http://www.worldcat.org/oclc/29478627","WorldCat Record")</f>
        <v/>
      </c>
      <c r="AU261" t="inlineStr">
        <is>
          <t>8209000:eng</t>
        </is>
      </c>
      <c r="AV261" t="inlineStr">
        <is>
          <t>29478627</t>
        </is>
      </c>
      <c r="AW261" t="inlineStr">
        <is>
          <t>991003660269702656</t>
        </is>
      </c>
      <c r="AX261" t="inlineStr">
        <is>
          <t>991003660269702656</t>
        </is>
      </c>
      <c r="AY261" t="inlineStr">
        <is>
          <t>2268833390002656</t>
        </is>
      </c>
      <c r="AZ261" t="inlineStr">
        <is>
          <t>BOOK</t>
        </is>
      </c>
      <c r="BB261" t="inlineStr">
        <is>
          <t>9780024211323</t>
        </is>
      </c>
      <c r="BC261" t="inlineStr">
        <is>
          <t>32285004416706</t>
        </is>
      </c>
      <c r="BD261" t="inlineStr">
        <is>
          <t>893705476</t>
        </is>
      </c>
    </row>
    <row r="262">
      <c r="A262" t="inlineStr">
        <is>
          <t>No</t>
        </is>
      </c>
      <c r="B262" t="inlineStr">
        <is>
          <t>HV45 .Z37 1997</t>
        </is>
      </c>
      <c r="C262" t="inlineStr">
        <is>
          <t>0                      HV 0045000Z  37          1997</t>
        </is>
      </c>
      <c r="D262" t="inlineStr">
        <is>
          <t>Social work with groups : using the class as a group leadership laboratory / Charles Zastrow.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Zastrow, Charles.</t>
        </is>
      </c>
      <c r="L262" t="inlineStr">
        <is>
          <t>Chicago : Nelson-Hall Publishers, c1997.</t>
        </is>
      </c>
      <c r="M262" t="inlineStr">
        <is>
          <t>1997</t>
        </is>
      </c>
      <c r="N262" t="inlineStr">
        <is>
          <t>4th ed.</t>
        </is>
      </c>
      <c r="O262" t="inlineStr">
        <is>
          <t>eng</t>
        </is>
      </c>
      <c r="P262" t="inlineStr">
        <is>
          <t>ilu</t>
        </is>
      </c>
      <c r="Q262" t="inlineStr">
        <is>
          <t>The Nelson-Hall series in social work</t>
        </is>
      </c>
      <c r="R262" t="inlineStr">
        <is>
          <t xml:space="preserve">HV </t>
        </is>
      </c>
      <c r="S262" t="n">
        <v>2</v>
      </c>
      <c r="T262" t="n">
        <v>2</v>
      </c>
      <c r="U262" t="inlineStr">
        <is>
          <t>2007-11-21</t>
        </is>
      </c>
      <c r="V262" t="inlineStr">
        <is>
          <t>2007-11-21</t>
        </is>
      </c>
      <c r="W262" t="inlineStr">
        <is>
          <t>2001-10-30</t>
        </is>
      </c>
      <c r="X262" t="inlineStr">
        <is>
          <t>2001-10-30</t>
        </is>
      </c>
      <c r="Y262" t="n">
        <v>110</v>
      </c>
      <c r="Z262" t="n">
        <v>96</v>
      </c>
      <c r="AA262" t="n">
        <v>299</v>
      </c>
      <c r="AB262" t="n">
        <v>1</v>
      </c>
      <c r="AC262" t="n">
        <v>4</v>
      </c>
      <c r="AD262" t="n">
        <v>3</v>
      </c>
      <c r="AE262" t="n">
        <v>12</v>
      </c>
      <c r="AF262" t="n">
        <v>0</v>
      </c>
      <c r="AG262" t="n">
        <v>2</v>
      </c>
      <c r="AH262" t="n">
        <v>1</v>
      </c>
      <c r="AI262" t="n">
        <v>2</v>
      </c>
      <c r="AJ262" t="n">
        <v>3</v>
      </c>
      <c r="AK262" t="n">
        <v>7</v>
      </c>
      <c r="AL262" t="n">
        <v>0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HYPERLINK("https://creighton-primo.hosted.exlibrisgroup.com/primo-explore/search?tab=default_tab&amp;search_scope=EVERYTHING&amp;vid=01CRU&amp;lang=en_US&amp;offset=0&amp;query=any,contains,991003660299702656","Catalog Record")</f>
        <v/>
      </c>
      <c r="AT262">
        <f>HYPERLINK("http://www.worldcat.org/oclc/34244203","WorldCat Record")</f>
        <v/>
      </c>
      <c r="AU262" t="inlineStr">
        <is>
          <t>3943481555:eng</t>
        </is>
      </c>
      <c r="AV262" t="inlineStr">
        <is>
          <t>34244203</t>
        </is>
      </c>
      <c r="AW262" t="inlineStr">
        <is>
          <t>991003660299702656</t>
        </is>
      </c>
      <c r="AX262" t="inlineStr">
        <is>
          <t>991003660299702656</t>
        </is>
      </c>
      <c r="AY262" t="inlineStr">
        <is>
          <t>2271956370002656</t>
        </is>
      </c>
      <c r="AZ262" t="inlineStr">
        <is>
          <t>BOOK</t>
        </is>
      </c>
      <c r="BB262" t="inlineStr">
        <is>
          <t>9780830414437</t>
        </is>
      </c>
      <c r="BC262" t="inlineStr">
        <is>
          <t>32285004416714</t>
        </is>
      </c>
      <c r="BD262" t="inlineStr">
        <is>
          <t>893686787</t>
        </is>
      </c>
    </row>
    <row r="263">
      <c r="A263" t="inlineStr">
        <is>
          <t>No</t>
        </is>
      </c>
      <c r="B263" t="inlineStr">
        <is>
          <t>HV4504 .R67 1989</t>
        </is>
      </c>
      <c r="C263" t="inlineStr">
        <is>
          <t>0                      HV 4504000R  67          1989</t>
        </is>
      </c>
      <c r="D263" t="inlineStr">
        <is>
          <t>Down and out in America : the origins of homelessness / Peter H. Rossi.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Yes</t>
        </is>
      </c>
      <c r="J263" t="inlineStr">
        <is>
          <t>0</t>
        </is>
      </c>
      <c r="K263" t="inlineStr">
        <is>
          <t>Rossi, Peter H. (Peter Henry), 1921-2006.</t>
        </is>
      </c>
      <c r="L263" t="inlineStr">
        <is>
          <t>Chicago : University of Chicago Press, 1989.</t>
        </is>
      </c>
      <c r="M263" t="inlineStr">
        <is>
          <t>1989</t>
        </is>
      </c>
      <c r="O263" t="inlineStr">
        <is>
          <t>eng</t>
        </is>
      </c>
      <c r="P263" t="inlineStr">
        <is>
          <t>ilu</t>
        </is>
      </c>
      <c r="R263" t="inlineStr">
        <is>
          <t xml:space="preserve">HV </t>
        </is>
      </c>
      <c r="S263" t="n">
        <v>20</v>
      </c>
      <c r="T263" t="n">
        <v>20</v>
      </c>
      <c r="U263" t="inlineStr">
        <is>
          <t>2003-10-07</t>
        </is>
      </c>
      <c r="V263" t="inlineStr">
        <is>
          <t>2003-10-07</t>
        </is>
      </c>
      <c r="W263" t="inlineStr">
        <is>
          <t>1990-04-23</t>
        </is>
      </c>
      <c r="X263" t="inlineStr">
        <is>
          <t>1990-04-23</t>
        </is>
      </c>
      <c r="Y263" t="n">
        <v>1729</v>
      </c>
      <c r="Z263" t="n">
        <v>1605</v>
      </c>
      <c r="AA263" t="n">
        <v>1720</v>
      </c>
      <c r="AB263" t="n">
        <v>10</v>
      </c>
      <c r="AC263" t="n">
        <v>11</v>
      </c>
      <c r="AD263" t="n">
        <v>52</v>
      </c>
      <c r="AE263" t="n">
        <v>54</v>
      </c>
      <c r="AF263" t="n">
        <v>21</v>
      </c>
      <c r="AG263" t="n">
        <v>21</v>
      </c>
      <c r="AH263" t="n">
        <v>9</v>
      </c>
      <c r="AI263" t="n">
        <v>10</v>
      </c>
      <c r="AJ263" t="n">
        <v>21</v>
      </c>
      <c r="AK263" t="n">
        <v>22</v>
      </c>
      <c r="AL263" t="n">
        <v>9</v>
      </c>
      <c r="AM263" t="n">
        <v>9</v>
      </c>
      <c r="AN263" t="n">
        <v>4</v>
      </c>
      <c r="AO263" t="n">
        <v>4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HYPERLINK("https://creighton-primo.hosted.exlibrisgroup.com/primo-explore/search?tab=default_tab&amp;search_scope=EVERYTHING&amp;vid=01CRU&amp;lang=en_US&amp;offset=0&amp;query=any,contains,991001465959702656","Catalog Record")</f>
        <v/>
      </c>
      <c r="AT263">
        <f>HYPERLINK("http://www.worldcat.org/oclc/19512020","WorldCat Record")</f>
        <v/>
      </c>
      <c r="AU263" t="inlineStr">
        <is>
          <t>21297147:eng</t>
        </is>
      </c>
      <c r="AV263" t="inlineStr">
        <is>
          <t>19512020</t>
        </is>
      </c>
      <c r="AW263" t="inlineStr">
        <is>
          <t>991001465959702656</t>
        </is>
      </c>
      <c r="AX263" t="inlineStr">
        <is>
          <t>991001465959702656</t>
        </is>
      </c>
      <c r="AY263" t="inlineStr">
        <is>
          <t>2258546920002656</t>
        </is>
      </c>
      <c r="AZ263" t="inlineStr">
        <is>
          <t>BOOK</t>
        </is>
      </c>
      <c r="BB263" t="inlineStr">
        <is>
          <t>9780226728285</t>
        </is>
      </c>
      <c r="BC263" t="inlineStr">
        <is>
          <t>32285000115666</t>
        </is>
      </c>
      <c r="BD263" t="inlineStr">
        <is>
          <t>893426623</t>
        </is>
      </c>
    </row>
    <row r="264">
      <c r="A264" t="inlineStr">
        <is>
          <t>No</t>
        </is>
      </c>
      <c r="B264" t="inlineStr">
        <is>
          <t>HV4505 .B34</t>
        </is>
      </c>
      <c r="C264" t="inlineStr">
        <is>
          <t>0                      HV 4505000B  34</t>
        </is>
      </c>
      <c r="D264" t="inlineStr">
        <is>
          <t>Skid row; an introduction to disaffiliation [by] Howard M. Bahr.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Bahr, Howard M.</t>
        </is>
      </c>
      <c r="L264" t="inlineStr">
        <is>
          <t>New York, Oxford University Press, 1973.</t>
        </is>
      </c>
      <c r="M264" t="inlineStr">
        <is>
          <t>1973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HV </t>
        </is>
      </c>
      <c r="S264" t="n">
        <v>6</v>
      </c>
      <c r="T264" t="n">
        <v>6</v>
      </c>
      <c r="U264" t="inlineStr">
        <is>
          <t>2002-09-03</t>
        </is>
      </c>
      <c r="V264" t="inlineStr">
        <is>
          <t>2002-09-03</t>
        </is>
      </c>
      <c r="W264" t="inlineStr">
        <is>
          <t>1992-04-01</t>
        </is>
      </c>
      <c r="X264" t="inlineStr">
        <is>
          <t>1992-04-01</t>
        </is>
      </c>
      <c r="Y264" t="n">
        <v>730</v>
      </c>
      <c r="Z264" t="n">
        <v>631</v>
      </c>
      <c r="AA264" t="n">
        <v>638</v>
      </c>
      <c r="AB264" t="n">
        <v>4</v>
      </c>
      <c r="AC264" t="n">
        <v>4</v>
      </c>
      <c r="AD264" t="n">
        <v>26</v>
      </c>
      <c r="AE264" t="n">
        <v>26</v>
      </c>
      <c r="AF264" t="n">
        <v>7</v>
      </c>
      <c r="AG264" t="n">
        <v>7</v>
      </c>
      <c r="AH264" t="n">
        <v>8</v>
      </c>
      <c r="AI264" t="n">
        <v>8</v>
      </c>
      <c r="AJ264" t="n">
        <v>15</v>
      </c>
      <c r="AK264" t="n">
        <v>15</v>
      </c>
      <c r="AL264" t="n">
        <v>3</v>
      </c>
      <c r="AM264" t="n">
        <v>3</v>
      </c>
      <c r="AN264" t="n">
        <v>1</v>
      </c>
      <c r="AO264" t="n">
        <v>1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HYPERLINK("http://catalog.hathitrust.org/Record/001133364","HathiTrust Record")</f>
        <v/>
      </c>
      <c r="AS264">
        <f>HYPERLINK("https://creighton-primo.hosted.exlibrisgroup.com/primo-explore/search?tab=default_tab&amp;search_scope=EVERYTHING&amp;vid=01CRU&amp;lang=en_US&amp;offset=0&amp;query=any,contains,991003221329702656","Catalog Record")</f>
        <v/>
      </c>
      <c r="AT264">
        <f>HYPERLINK("http://www.worldcat.org/oclc/746157","WorldCat Record")</f>
        <v/>
      </c>
      <c r="AU264" t="inlineStr">
        <is>
          <t>1824569:eng</t>
        </is>
      </c>
      <c r="AV264" t="inlineStr">
        <is>
          <t>746157</t>
        </is>
      </c>
      <c r="AW264" t="inlineStr">
        <is>
          <t>991003221329702656</t>
        </is>
      </c>
      <c r="AX264" t="inlineStr">
        <is>
          <t>991003221329702656</t>
        </is>
      </c>
      <c r="AY264" t="inlineStr">
        <is>
          <t>2255585950002656</t>
        </is>
      </c>
      <c r="AZ264" t="inlineStr">
        <is>
          <t>BOOK</t>
        </is>
      </c>
      <c r="BB264" t="inlineStr">
        <is>
          <t>9780195017120</t>
        </is>
      </c>
      <c r="BC264" t="inlineStr">
        <is>
          <t>32285001050680</t>
        </is>
      </c>
      <c r="BD264" t="inlineStr">
        <is>
          <t>893604555</t>
        </is>
      </c>
    </row>
    <row r="265">
      <c r="A265" t="inlineStr">
        <is>
          <t>No</t>
        </is>
      </c>
      <c r="B265" t="inlineStr">
        <is>
          <t>HV4505 .B373 1990</t>
        </is>
      </c>
      <c r="C265" t="inlineStr">
        <is>
          <t>0                      HV 4505000B  373         1990</t>
        </is>
      </c>
      <c r="D265" t="inlineStr">
        <is>
          <t>Shadow women : homeless women's survival stories / Marjorie Bard.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Bard, Marjorie.</t>
        </is>
      </c>
      <c r="L265" t="inlineStr">
        <is>
          <t>Kansas City, MO : Sheed &amp; Ward, c1990.</t>
        </is>
      </c>
      <c r="M265" t="inlineStr">
        <is>
          <t>1990</t>
        </is>
      </c>
      <c r="O265" t="inlineStr">
        <is>
          <t>eng</t>
        </is>
      </c>
      <c r="P265" t="inlineStr">
        <is>
          <t>mou</t>
        </is>
      </c>
      <c r="R265" t="inlineStr">
        <is>
          <t xml:space="preserve">HV </t>
        </is>
      </c>
      <c r="S265" t="n">
        <v>19</v>
      </c>
      <c r="T265" t="n">
        <v>19</v>
      </c>
      <c r="U265" t="inlineStr">
        <is>
          <t>2002-09-03</t>
        </is>
      </c>
      <c r="V265" t="inlineStr">
        <is>
          <t>2002-09-03</t>
        </is>
      </c>
      <c r="W265" t="inlineStr">
        <is>
          <t>1992-01-23</t>
        </is>
      </c>
      <c r="X265" t="inlineStr">
        <is>
          <t>1992-01-23</t>
        </is>
      </c>
      <c r="Y265" t="n">
        <v>214</v>
      </c>
      <c r="Z265" t="n">
        <v>202</v>
      </c>
      <c r="AA265" t="n">
        <v>231</v>
      </c>
      <c r="AB265" t="n">
        <v>3</v>
      </c>
      <c r="AC265" t="n">
        <v>3</v>
      </c>
      <c r="AD265" t="n">
        <v>9</v>
      </c>
      <c r="AE265" t="n">
        <v>9</v>
      </c>
      <c r="AF265" t="n">
        <v>2</v>
      </c>
      <c r="AG265" t="n">
        <v>2</v>
      </c>
      <c r="AH265" t="n">
        <v>2</v>
      </c>
      <c r="AI265" t="n">
        <v>2</v>
      </c>
      <c r="AJ265" t="n">
        <v>5</v>
      </c>
      <c r="AK265" t="n">
        <v>5</v>
      </c>
      <c r="AL265" t="n">
        <v>2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HYPERLINK("http://catalog.hathitrust.org/Record/003879318","HathiTrust Record")</f>
        <v/>
      </c>
      <c r="AS265">
        <f>HYPERLINK("https://creighton-primo.hosted.exlibrisgroup.com/primo-explore/search?tab=default_tab&amp;search_scope=EVERYTHING&amp;vid=01CRU&amp;lang=en_US&amp;offset=0&amp;query=any,contains,991001817189702656","Catalog Record")</f>
        <v/>
      </c>
      <c r="AT265">
        <f>HYPERLINK("http://www.worldcat.org/oclc/22857513","WorldCat Record")</f>
        <v/>
      </c>
      <c r="AU265" t="inlineStr">
        <is>
          <t>24025573:eng</t>
        </is>
      </c>
      <c r="AV265" t="inlineStr">
        <is>
          <t>22857513</t>
        </is>
      </c>
      <c r="AW265" t="inlineStr">
        <is>
          <t>991001817189702656</t>
        </is>
      </c>
      <c r="AX265" t="inlineStr">
        <is>
          <t>991001817189702656</t>
        </is>
      </c>
      <c r="AY265" t="inlineStr">
        <is>
          <t>2257291790002656</t>
        </is>
      </c>
      <c r="AZ265" t="inlineStr">
        <is>
          <t>BOOK</t>
        </is>
      </c>
      <c r="BB265" t="inlineStr">
        <is>
          <t>9781556123580</t>
        </is>
      </c>
      <c r="BC265" t="inlineStr">
        <is>
          <t>32285000866359</t>
        </is>
      </c>
      <c r="BD265" t="inlineStr">
        <is>
          <t>893866513</t>
        </is>
      </c>
    </row>
    <row r="266">
      <c r="A266" t="inlineStr">
        <is>
          <t>No</t>
        </is>
      </c>
      <c r="B266" t="inlineStr">
        <is>
          <t>HV4505 .B52 1992</t>
        </is>
      </c>
      <c r="C266" t="inlineStr">
        <is>
          <t>0                      HV 4505000B  52          1992</t>
        </is>
      </c>
      <c r="D266" t="inlineStr">
        <is>
          <t>The visible poor : homelessness in the United States / Joel Blau.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Yes</t>
        </is>
      </c>
      <c r="J266" t="inlineStr">
        <is>
          <t>0</t>
        </is>
      </c>
      <c r="K266" t="inlineStr">
        <is>
          <t>Blau, Joel.</t>
        </is>
      </c>
      <c r="L266" t="inlineStr">
        <is>
          <t>New York : Oxford University Press, 1992.</t>
        </is>
      </c>
      <c r="M266" t="inlineStr">
        <is>
          <t>1992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HV </t>
        </is>
      </c>
      <c r="S266" t="n">
        <v>22</v>
      </c>
      <c r="T266" t="n">
        <v>22</v>
      </c>
      <c r="U266" t="inlineStr">
        <is>
          <t>1997-11-06</t>
        </is>
      </c>
      <c r="V266" t="inlineStr">
        <is>
          <t>1997-11-06</t>
        </is>
      </c>
      <c r="W266" t="inlineStr">
        <is>
          <t>1992-08-04</t>
        </is>
      </c>
      <c r="X266" t="inlineStr">
        <is>
          <t>1992-08-04</t>
        </is>
      </c>
      <c r="Y266" t="n">
        <v>1620</v>
      </c>
      <c r="Z266" t="n">
        <v>1514</v>
      </c>
      <c r="AA266" t="n">
        <v>1599</v>
      </c>
      <c r="AB266" t="n">
        <v>11</v>
      </c>
      <c r="AC266" t="n">
        <v>12</v>
      </c>
      <c r="AD266" t="n">
        <v>53</v>
      </c>
      <c r="AE266" t="n">
        <v>57</v>
      </c>
      <c r="AF266" t="n">
        <v>20</v>
      </c>
      <c r="AG266" t="n">
        <v>22</v>
      </c>
      <c r="AH266" t="n">
        <v>10</v>
      </c>
      <c r="AI266" t="n">
        <v>10</v>
      </c>
      <c r="AJ266" t="n">
        <v>20</v>
      </c>
      <c r="AK266" t="n">
        <v>21</v>
      </c>
      <c r="AL266" t="n">
        <v>8</v>
      </c>
      <c r="AM266" t="n">
        <v>9</v>
      </c>
      <c r="AN266" t="n">
        <v>7</v>
      </c>
      <c r="AO266" t="n">
        <v>7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HYPERLINK("http://catalog.hathitrust.org/Record/002527105","HathiTrust Record")</f>
        <v/>
      </c>
      <c r="AS266">
        <f>HYPERLINK("https://creighton-primo.hosted.exlibrisgroup.com/primo-explore/search?tab=default_tab&amp;search_scope=EVERYTHING&amp;vid=01CRU&amp;lang=en_US&amp;offset=0&amp;query=any,contains,991001917959702656","Catalog Record")</f>
        <v/>
      </c>
      <c r="AT266">
        <f>HYPERLINK("http://www.worldcat.org/oclc/24215654","WorldCat Record")</f>
        <v/>
      </c>
      <c r="AU266" t="inlineStr">
        <is>
          <t>328009:eng</t>
        </is>
      </c>
      <c r="AV266" t="inlineStr">
        <is>
          <t>24215654</t>
        </is>
      </c>
      <c r="AW266" t="inlineStr">
        <is>
          <t>991001917959702656</t>
        </is>
      </c>
      <c r="AX266" t="inlineStr">
        <is>
          <t>991001917959702656</t>
        </is>
      </c>
      <c r="AY266" t="inlineStr">
        <is>
          <t>2272573350002656</t>
        </is>
      </c>
      <c r="AZ266" t="inlineStr">
        <is>
          <t>BOOK</t>
        </is>
      </c>
      <c r="BB266" t="inlineStr">
        <is>
          <t>9780195057430</t>
        </is>
      </c>
      <c r="BC266" t="inlineStr">
        <is>
          <t>32285001196285</t>
        </is>
      </c>
      <c r="BD266" t="inlineStr">
        <is>
          <t>893590742</t>
        </is>
      </c>
    </row>
    <row r="267">
      <c r="A267" t="inlineStr">
        <is>
          <t>No</t>
        </is>
      </c>
      <c r="B267" t="inlineStr">
        <is>
          <t>HV4505 .B88 1992</t>
        </is>
      </c>
      <c r="C267" t="inlineStr">
        <is>
          <t>0                      HV 4505000B  88          1992</t>
        </is>
      </c>
      <c r="D267" t="inlineStr">
        <is>
          <t>Over the edge : the growth of homelessness in the 1980s / Martha R. Burt.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Burt, Martha R.</t>
        </is>
      </c>
      <c r="L267" t="inlineStr">
        <is>
          <t>New York : Russell Sage Foundation ; Washington, D.C. : Urban Institute Press, c1992.</t>
        </is>
      </c>
      <c r="M267" t="inlineStr">
        <is>
          <t>1992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HV </t>
        </is>
      </c>
      <c r="S267" t="n">
        <v>13</v>
      </c>
      <c r="T267" t="n">
        <v>13</v>
      </c>
      <c r="U267" t="inlineStr">
        <is>
          <t>2007-03-18</t>
        </is>
      </c>
      <c r="V267" t="inlineStr">
        <is>
          <t>2007-03-18</t>
        </is>
      </c>
      <c r="W267" t="inlineStr">
        <is>
          <t>1992-08-04</t>
        </is>
      </c>
      <c r="X267" t="inlineStr">
        <is>
          <t>1992-08-04</t>
        </is>
      </c>
      <c r="Y267" t="n">
        <v>906</v>
      </c>
      <c r="Z267" t="n">
        <v>819</v>
      </c>
      <c r="AA267" t="n">
        <v>870</v>
      </c>
      <c r="AB267" t="n">
        <v>7</v>
      </c>
      <c r="AC267" t="n">
        <v>7</v>
      </c>
      <c r="AD267" t="n">
        <v>42</v>
      </c>
      <c r="AE267" t="n">
        <v>45</v>
      </c>
      <c r="AF267" t="n">
        <v>16</v>
      </c>
      <c r="AG267" t="n">
        <v>19</v>
      </c>
      <c r="AH267" t="n">
        <v>9</v>
      </c>
      <c r="AI267" t="n">
        <v>9</v>
      </c>
      <c r="AJ267" t="n">
        <v>20</v>
      </c>
      <c r="AK267" t="n">
        <v>21</v>
      </c>
      <c r="AL267" t="n">
        <v>5</v>
      </c>
      <c r="AM267" t="n">
        <v>5</v>
      </c>
      <c r="AN267" t="n">
        <v>2</v>
      </c>
      <c r="AO267" t="n">
        <v>2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HYPERLINK("https://creighton-primo.hosted.exlibrisgroup.com/primo-explore/search?tab=default_tab&amp;search_scope=EVERYTHING&amp;vid=01CRU&amp;lang=en_US&amp;offset=0&amp;query=any,contains,991001887209702656","Catalog Record")</f>
        <v/>
      </c>
      <c r="AT267">
        <f>HYPERLINK("http://www.worldcat.org/oclc/23768390","WorldCat Record")</f>
        <v/>
      </c>
      <c r="AU267" t="inlineStr">
        <is>
          <t>25080199:eng</t>
        </is>
      </c>
      <c r="AV267" t="inlineStr">
        <is>
          <t>23768390</t>
        </is>
      </c>
      <c r="AW267" t="inlineStr">
        <is>
          <t>991001887209702656</t>
        </is>
      </c>
      <c r="AX267" t="inlineStr">
        <is>
          <t>991001887209702656</t>
        </is>
      </c>
      <c r="AY267" t="inlineStr">
        <is>
          <t>2269866910002656</t>
        </is>
      </c>
      <c r="AZ267" t="inlineStr">
        <is>
          <t>BOOK</t>
        </is>
      </c>
      <c r="BB267" t="inlineStr">
        <is>
          <t>9780871541772</t>
        </is>
      </c>
      <c r="BC267" t="inlineStr">
        <is>
          <t>32285001196319</t>
        </is>
      </c>
      <c r="BD267" t="inlineStr">
        <is>
          <t>893340784</t>
        </is>
      </c>
    </row>
    <row r="268">
      <c r="A268" t="inlineStr">
        <is>
          <t>No</t>
        </is>
      </c>
      <c r="B268" t="inlineStr">
        <is>
          <t>HV4505 .C37 1990</t>
        </is>
      </c>
      <c r="C268" t="inlineStr">
        <is>
          <t>0                      HV 4505000C  37          1990</t>
        </is>
      </c>
      <c r="D268" t="inlineStr">
        <is>
          <t>Homeless in America / Carol L.M. Caton.</t>
        </is>
      </c>
      <c r="F268" t="inlineStr">
        <is>
          <t>No</t>
        </is>
      </c>
      <c r="G268" t="inlineStr">
        <is>
          <t>1</t>
        </is>
      </c>
      <c r="H268" t="inlineStr">
        <is>
          <t>Yes</t>
        </is>
      </c>
      <c r="I268" t="inlineStr">
        <is>
          <t>No</t>
        </is>
      </c>
      <c r="J268" t="inlineStr">
        <is>
          <t>0</t>
        </is>
      </c>
      <c r="K268" t="inlineStr">
        <is>
          <t>Caton, Carol L. M.</t>
        </is>
      </c>
      <c r="L268" t="inlineStr">
        <is>
          <t>New York : Oxford University Press, 1990.</t>
        </is>
      </c>
      <c r="M268" t="inlineStr">
        <is>
          <t>1990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HV </t>
        </is>
      </c>
      <c r="S268" t="n">
        <v>31</v>
      </c>
      <c r="T268" t="n">
        <v>52</v>
      </c>
      <c r="U268" t="inlineStr">
        <is>
          <t>2009-09-27</t>
        </is>
      </c>
      <c r="V268" t="inlineStr">
        <is>
          <t>2009-09-27</t>
        </is>
      </c>
      <c r="W268" t="inlineStr">
        <is>
          <t>1991-06-04</t>
        </is>
      </c>
      <c r="X268" t="inlineStr">
        <is>
          <t>1991-06-04</t>
        </is>
      </c>
      <c r="Y268" t="n">
        <v>757</v>
      </c>
      <c r="Z268" t="n">
        <v>674</v>
      </c>
      <c r="AA268" t="n">
        <v>681</v>
      </c>
      <c r="AB268" t="n">
        <v>7</v>
      </c>
      <c r="AC268" t="n">
        <v>7</v>
      </c>
      <c r="AD268" t="n">
        <v>33</v>
      </c>
      <c r="AE268" t="n">
        <v>33</v>
      </c>
      <c r="AF268" t="n">
        <v>11</v>
      </c>
      <c r="AG268" t="n">
        <v>11</v>
      </c>
      <c r="AH268" t="n">
        <v>7</v>
      </c>
      <c r="AI268" t="n">
        <v>7</v>
      </c>
      <c r="AJ268" t="n">
        <v>16</v>
      </c>
      <c r="AK268" t="n">
        <v>16</v>
      </c>
      <c r="AL268" t="n">
        <v>5</v>
      </c>
      <c r="AM268" t="n">
        <v>5</v>
      </c>
      <c r="AN268" t="n">
        <v>1</v>
      </c>
      <c r="AO268" t="n">
        <v>1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HYPERLINK("http://catalog.hathitrust.org/Record/001946341","HathiTrust Record")</f>
        <v/>
      </c>
      <c r="AS268">
        <f>HYPERLINK("https://creighton-primo.hosted.exlibrisgroup.com/primo-explore/search?tab=default_tab&amp;search_scope=EVERYTHING&amp;vid=01CRU&amp;lang=en_US&amp;offset=0&amp;query=any,contains,991001768439702656","Catalog Record")</f>
        <v/>
      </c>
      <c r="AT268">
        <f>HYPERLINK("http://www.worldcat.org/oclc/20098671","WorldCat Record")</f>
        <v/>
      </c>
      <c r="AU268" t="inlineStr">
        <is>
          <t>21985930:eng</t>
        </is>
      </c>
      <c r="AV268" t="inlineStr">
        <is>
          <t>20098671</t>
        </is>
      </c>
      <c r="AW268" t="inlineStr">
        <is>
          <t>991001768439702656</t>
        </is>
      </c>
      <c r="AX268" t="inlineStr">
        <is>
          <t>991001768439702656</t>
        </is>
      </c>
      <c r="AY268" t="inlineStr">
        <is>
          <t>2269228470002656</t>
        </is>
      </c>
      <c r="AZ268" t="inlineStr">
        <is>
          <t>BOOK</t>
        </is>
      </c>
      <c r="BB268" t="inlineStr">
        <is>
          <t>9780195039184</t>
        </is>
      </c>
      <c r="BC268" t="inlineStr">
        <is>
          <t>32285000592252</t>
        </is>
      </c>
      <c r="BD268" t="inlineStr">
        <is>
          <t>893785378</t>
        </is>
      </c>
    </row>
    <row r="269">
      <c r="A269" t="inlineStr">
        <is>
          <t>No</t>
        </is>
      </c>
      <c r="B269" t="inlineStr">
        <is>
          <t>HV4505 .H652 1996</t>
        </is>
      </c>
      <c r="C269" t="inlineStr">
        <is>
          <t>0                      HV 4505000H  652         1996</t>
        </is>
      </c>
      <c r="D269" t="inlineStr">
        <is>
          <t>Homelessness in America / edited by Jim Baumohl for the National Coalition for the Homeless.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Phoenix, Ariz. : Oryx Press, 1996.</t>
        </is>
      </c>
      <c r="M269" t="inlineStr">
        <is>
          <t>1996</t>
        </is>
      </c>
      <c r="O269" t="inlineStr">
        <is>
          <t>eng</t>
        </is>
      </c>
      <c r="P269" t="inlineStr">
        <is>
          <t>azu</t>
        </is>
      </c>
      <c r="R269" t="inlineStr">
        <is>
          <t xml:space="preserve">HV </t>
        </is>
      </c>
      <c r="S269" t="n">
        <v>22</v>
      </c>
      <c r="T269" t="n">
        <v>22</v>
      </c>
      <c r="U269" t="inlineStr">
        <is>
          <t>2009-10-29</t>
        </is>
      </c>
      <c r="V269" t="inlineStr">
        <is>
          <t>2009-10-29</t>
        </is>
      </c>
      <c r="W269" t="inlineStr">
        <is>
          <t>1997-02-14</t>
        </is>
      </c>
      <c r="X269" t="inlineStr">
        <is>
          <t>1997-02-14</t>
        </is>
      </c>
      <c r="Y269" t="n">
        <v>855</v>
      </c>
      <c r="Z269" t="n">
        <v>812</v>
      </c>
      <c r="AA269" t="n">
        <v>1133</v>
      </c>
      <c r="AB269" t="n">
        <v>7</v>
      </c>
      <c r="AC269" t="n">
        <v>8</v>
      </c>
      <c r="AD269" t="n">
        <v>35</v>
      </c>
      <c r="AE269" t="n">
        <v>38</v>
      </c>
      <c r="AF269" t="n">
        <v>13</v>
      </c>
      <c r="AG269" t="n">
        <v>15</v>
      </c>
      <c r="AH269" t="n">
        <v>9</v>
      </c>
      <c r="AI269" t="n">
        <v>9</v>
      </c>
      <c r="AJ269" t="n">
        <v>15</v>
      </c>
      <c r="AK269" t="n">
        <v>16</v>
      </c>
      <c r="AL269" t="n">
        <v>5</v>
      </c>
      <c r="AM269" t="n">
        <v>6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HYPERLINK("http://catalog.hathitrust.org/Record/003115722","HathiTrust Record")</f>
        <v/>
      </c>
      <c r="AS269">
        <f>HYPERLINK("https://creighton-primo.hosted.exlibrisgroup.com/primo-explore/search?tab=default_tab&amp;search_scope=EVERYTHING&amp;vid=01CRU&amp;lang=en_US&amp;offset=0&amp;query=any,contains,991002679129702656","Catalog Record")</f>
        <v/>
      </c>
      <c r="AT269">
        <f>HYPERLINK("http://www.worldcat.org/oclc/35017834","WorldCat Record")</f>
        <v/>
      </c>
      <c r="AU269" t="inlineStr">
        <is>
          <t>354507558:eng</t>
        </is>
      </c>
      <c r="AV269" t="inlineStr">
        <is>
          <t>35017834</t>
        </is>
      </c>
      <c r="AW269" t="inlineStr">
        <is>
          <t>991002679129702656</t>
        </is>
      </c>
      <c r="AX269" t="inlineStr">
        <is>
          <t>991002679129702656</t>
        </is>
      </c>
      <c r="AY269" t="inlineStr">
        <is>
          <t>2267808660002656</t>
        </is>
      </c>
      <c r="AZ269" t="inlineStr">
        <is>
          <t>BOOK</t>
        </is>
      </c>
      <c r="BB269" t="inlineStr">
        <is>
          <t>9780897748698</t>
        </is>
      </c>
      <c r="BC269" t="inlineStr">
        <is>
          <t>32285002431632</t>
        </is>
      </c>
      <c r="BD269" t="inlineStr">
        <is>
          <t>893239359</t>
        </is>
      </c>
    </row>
    <row r="270">
      <c r="A270" t="inlineStr">
        <is>
          <t>No</t>
        </is>
      </c>
      <c r="B270" t="inlineStr">
        <is>
          <t>HV4505 .H653 1987</t>
        </is>
      </c>
      <c r="C270" t="inlineStr">
        <is>
          <t>0                      HV 4505000H  653         1987</t>
        </is>
      </c>
      <c r="D270" t="inlineStr">
        <is>
          <t>The Homeless in contemporary society / edited by Richard D. Bingham, Roy E. Green, Sammis B. White.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Newbury Park, Calif. : Sage Publications, c1987.</t>
        </is>
      </c>
      <c r="M270" t="inlineStr">
        <is>
          <t>1987</t>
        </is>
      </c>
      <c r="O270" t="inlineStr">
        <is>
          <t>eng</t>
        </is>
      </c>
      <c r="P270" t="inlineStr">
        <is>
          <t>cau</t>
        </is>
      </c>
      <c r="Q270" t="inlineStr">
        <is>
          <t>Sage focus editions ; 87</t>
        </is>
      </c>
      <c r="R270" t="inlineStr">
        <is>
          <t xml:space="preserve">HV </t>
        </is>
      </c>
      <c r="S270" t="n">
        <v>16</v>
      </c>
      <c r="T270" t="n">
        <v>16</v>
      </c>
      <c r="U270" t="inlineStr">
        <is>
          <t>2002-07-24</t>
        </is>
      </c>
      <c r="V270" t="inlineStr">
        <is>
          <t>2002-07-24</t>
        </is>
      </c>
      <c r="W270" t="inlineStr">
        <is>
          <t>1990-02-14</t>
        </is>
      </c>
      <c r="X270" t="inlineStr">
        <is>
          <t>1990-02-14</t>
        </is>
      </c>
      <c r="Y270" t="n">
        <v>847</v>
      </c>
      <c r="Z270" t="n">
        <v>720</v>
      </c>
      <c r="AA270" t="n">
        <v>724</v>
      </c>
      <c r="AB270" t="n">
        <v>6</v>
      </c>
      <c r="AC270" t="n">
        <v>6</v>
      </c>
      <c r="AD270" t="n">
        <v>35</v>
      </c>
      <c r="AE270" t="n">
        <v>36</v>
      </c>
      <c r="AF270" t="n">
        <v>16</v>
      </c>
      <c r="AG270" t="n">
        <v>17</v>
      </c>
      <c r="AH270" t="n">
        <v>6</v>
      </c>
      <c r="AI270" t="n">
        <v>6</v>
      </c>
      <c r="AJ270" t="n">
        <v>17</v>
      </c>
      <c r="AK270" t="n">
        <v>18</v>
      </c>
      <c r="AL270" t="n">
        <v>5</v>
      </c>
      <c r="AM270" t="n">
        <v>5</v>
      </c>
      <c r="AN270" t="n">
        <v>1</v>
      </c>
      <c r="AO270" t="n">
        <v>1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HYPERLINK("http://catalog.hathitrust.org/Record/000829716","HathiTrust Record")</f>
        <v/>
      </c>
      <c r="AS270">
        <f>HYPERLINK("https://creighton-primo.hosted.exlibrisgroup.com/primo-explore/search?tab=default_tab&amp;search_scope=EVERYTHING&amp;vid=01CRU&amp;lang=en_US&amp;offset=0&amp;query=any,contains,991000947139702656","Catalog Record")</f>
        <v/>
      </c>
      <c r="AT270">
        <f>HYPERLINK("http://www.worldcat.org/oclc/14587131","WorldCat Record")</f>
        <v/>
      </c>
      <c r="AU270" t="inlineStr">
        <is>
          <t>365161828:eng</t>
        </is>
      </c>
      <c r="AV270" t="inlineStr">
        <is>
          <t>14587131</t>
        </is>
      </c>
      <c r="AW270" t="inlineStr">
        <is>
          <t>991000947139702656</t>
        </is>
      </c>
      <c r="AX270" t="inlineStr">
        <is>
          <t>991000947139702656</t>
        </is>
      </c>
      <c r="AY270" t="inlineStr">
        <is>
          <t>2271032780002656</t>
        </is>
      </c>
      <c r="AZ270" t="inlineStr">
        <is>
          <t>BOOK</t>
        </is>
      </c>
      <c r="BB270" t="inlineStr">
        <is>
          <t>9780803928893</t>
        </is>
      </c>
      <c r="BC270" t="inlineStr">
        <is>
          <t>32285000052547</t>
        </is>
      </c>
      <c r="BD270" t="inlineStr">
        <is>
          <t>893407677</t>
        </is>
      </c>
    </row>
    <row r="271">
      <c r="A271" t="inlineStr">
        <is>
          <t>No</t>
        </is>
      </c>
      <c r="B271" t="inlineStr">
        <is>
          <t>HV4505 .H6552 1992</t>
        </is>
      </c>
      <c r="C271" t="inlineStr">
        <is>
          <t>0                      HV 4505000H  6552        1992</t>
        </is>
      </c>
      <c r="D271" t="inlineStr">
        <is>
          <t>The Homeless problem / edited by Matthew A. Kraljic.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New York : H.W. Wilson, 1992.</t>
        </is>
      </c>
      <c r="M271" t="inlineStr">
        <is>
          <t>1992</t>
        </is>
      </c>
      <c r="O271" t="inlineStr">
        <is>
          <t>eng</t>
        </is>
      </c>
      <c r="P271" t="inlineStr">
        <is>
          <t>nyu</t>
        </is>
      </c>
      <c r="Q271" t="inlineStr">
        <is>
          <t>The Reference shelf ; v. 64, no. 2</t>
        </is>
      </c>
      <c r="R271" t="inlineStr">
        <is>
          <t xml:space="preserve">HV </t>
        </is>
      </c>
      <c r="S271" t="n">
        <v>35</v>
      </c>
      <c r="T271" t="n">
        <v>35</v>
      </c>
      <c r="U271" t="inlineStr">
        <is>
          <t>2004-04-15</t>
        </is>
      </c>
      <c r="V271" t="inlineStr">
        <is>
          <t>2004-04-15</t>
        </is>
      </c>
      <c r="W271" t="inlineStr">
        <is>
          <t>1993-07-30</t>
        </is>
      </c>
      <c r="X271" t="inlineStr">
        <is>
          <t>1993-07-30</t>
        </is>
      </c>
      <c r="Y271" t="n">
        <v>1209</v>
      </c>
      <c r="Z271" t="n">
        <v>1166</v>
      </c>
      <c r="AA271" t="n">
        <v>1172</v>
      </c>
      <c r="AB271" t="n">
        <v>13</v>
      </c>
      <c r="AC271" t="n">
        <v>13</v>
      </c>
      <c r="AD271" t="n">
        <v>40</v>
      </c>
      <c r="AE271" t="n">
        <v>40</v>
      </c>
      <c r="AF271" t="n">
        <v>16</v>
      </c>
      <c r="AG271" t="n">
        <v>16</v>
      </c>
      <c r="AH271" t="n">
        <v>7</v>
      </c>
      <c r="AI271" t="n">
        <v>7</v>
      </c>
      <c r="AJ271" t="n">
        <v>19</v>
      </c>
      <c r="AK271" t="n">
        <v>19</v>
      </c>
      <c r="AL271" t="n">
        <v>7</v>
      </c>
      <c r="AM271" t="n">
        <v>7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HYPERLINK("http://catalog.hathitrust.org/Record/002556317","HathiTrust Record")</f>
        <v/>
      </c>
      <c r="AS271">
        <f>HYPERLINK("https://creighton-primo.hosted.exlibrisgroup.com/primo-explore/search?tab=default_tab&amp;search_scope=EVERYTHING&amp;vid=01CRU&amp;lang=en_US&amp;offset=0&amp;query=any,contains,991002000649702656","Catalog Record")</f>
        <v/>
      </c>
      <c r="AT271">
        <f>HYPERLINK("http://www.worldcat.org/oclc/25411636","WorldCat Record")</f>
        <v/>
      </c>
      <c r="AU271" t="inlineStr">
        <is>
          <t>27894346:eng</t>
        </is>
      </c>
      <c r="AV271" t="inlineStr">
        <is>
          <t>25411636</t>
        </is>
      </c>
      <c r="AW271" t="inlineStr">
        <is>
          <t>991002000649702656</t>
        </is>
      </c>
      <c r="AX271" t="inlineStr">
        <is>
          <t>991002000649702656</t>
        </is>
      </c>
      <c r="AY271" t="inlineStr">
        <is>
          <t>2256669920002656</t>
        </is>
      </c>
      <c r="AZ271" t="inlineStr">
        <is>
          <t>BOOK</t>
        </is>
      </c>
      <c r="BB271" t="inlineStr">
        <is>
          <t>9780824208264</t>
        </is>
      </c>
      <c r="BC271" t="inlineStr">
        <is>
          <t>32285001704138</t>
        </is>
      </c>
      <c r="BD271" t="inlineStr">
        <is>
          <t>893872991</t>
        </is>
      </c>
    </row>
    <row r="272">
      <c r="A272" t="inlineStr">
        <is>
          <t>No</t>
        </is>
      </c>
      <c r="B272" t="inlineStr">
        <is>
          <t>HV4505 .H6553 1992</t>
        </is>
      </c>
      <c r="C272" t="inlineStr">
        <is>
          <t>0                      HV 4505000H  6553        1992</t>
        </is>
      </c>
      <c r="D272" t="inlineStr">
        <is>
          <t>Homelessness : a national perspective / edited by Marjorie J. Robertson and Milton Greenblatt.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New York : Plenum Press, c1992.</t>
        </is>
      </c>
      <c r="M272" t="inlineStr">
        <is>
          <t>1992</t>
        </is>
      </c>
      <c r="O272" t="inlineStr">
        <is>
          <t>eng</t>
        </is>
      </c>
      <c r="P272" t="inlineStr">
        <is>
          <t>nyu</t>
        </is>
      </c>
      <c r="Q272" t="inlineStr">
        <is>
          <t>Topics in social psychiatry</t>
        </is>
      </c>
      <c r="R272" t="inlineStr">
        <is>
          <t xml:space="preserve">HV </t>
        </is>
      </c>
      <c r="S272" t="n">
        <v>29</v>
      </c>
      <c r="T272" t="n">
        <v>29</v>
      </c>
      <c r="U272" t="inlineStr">
        <is>
          <t>2006-04-04</t>
        </is>
      </c>
      <c r="V272" t="inlineStr">
        <is>
          <t>2006-04-04</t>
        </is>
      </c>
      <c r="W272" t="inlineStr">
        <is>
          <t>1994-03-11</t>
        </is>
      </c>
      <c r="X272" t="inlineStr">
        <is>
          <t>1994-03-11</t>
        </is>
      </c>
      <c r="Y272" t="n">
        <v>434</v>
      </c>
      <c r="Z272" t="n">
        <v>359</v>
      </c>
      <c r="AA272" t="n">
        <v>384</v>
      </c>
      <c r="AB272" t="n">
        <v>3</v>
      </c>
      <c r="AC272" t="n">
        <v>3</v>
      </c>
      <c r="AD272" t="n">
        <v>20</v>
      </c>
      <c r="AE272" t="n">
        <v>21</v>
      </c>
      <c r="AF272" t="n">
        <v>9</v>
      </c>
      <c r="AG272" t="n">
        <v>10</v>
      </c>
      <c r="AH272" t="n">
        <v>6</v>
      </c>
      <c r="AI272" t="n">
        <v>6</v>
      </c>
      <c r="AJ272" t="n">
        <v>11</v>
      </c>
      <c r="AK272" t="n">
        <v>11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HYPERLINK("http://catalog.hathitrust.org/Record/002524155","HathiTrust Record")</f>
        <v/>
      </c>
      <c r="AS272">
        <f>HYPERLINK("https://creighton-primo.hosted.exlibrisgroup.com/primo-explore/search?tab=default_tab&amp;search_scope=EVERYTHING&amp;vid=01CRU&amp;lang=en_US&amp;offset=0&amp;query=any,contains,991001961869702656","Catalog Record")</f>
        <v/>
      </c>
      <c r="AT272">
        <f>HYPERLINK("http://www.worldcat.org/oclc/24850136","WorldCat Record")</f>
        <v/>
      </c>
      <c r="AU272" t="inlineStr">
        <is>
          <t>836838710:eng</t>
        </is>
      </c>
      <c r="AV272" t="inlineStr">
        <is>
          <t>24850136</t>
        </is>
      </c>
      <c r="AW272" t="inlineStr">
        <is>
          <t>991001961869702656</t>
        </is>
      </c>
      <c r="AX272" t="inlineStr">
        <is>
          <t>991001961869702656</t>
        </is>
      </c>
      <c r="AY272" t="inlineStr">
        <is>
          <t>2260833760002656</t>
        </is>
      </c>
      <c r="AZ272" t="inlineStr">
        <is>
          <t>BOOK</t>
        </is>
      </c>
      <c r="BB272" t="inlineStr">
        <is>
          <t>9780306437892</t>
        </is>
      </c>
      <c r="BC272" t="inlineStr">
        <is>
          <t>32285001844553</t>
        </is>
      </c>
      <c r="BD272" t="inlineStr">
        <is>
          <t>893439605</t>
        </is>
      </c>
    </row>
    <row r="273">
      <c r="A273" t="inlineStr">
        <is>
          <t>No</t>
        </is>
      </c>
      <c r="B273" t="inlineStr">
        <is>
          <t>HV4505 .H66 1986</t>
        </is>
      </c>
      <c r="C273" t="inlineStr">
        <is>
          <t>0                      HV 4505000H  66          1986</t>
        </is>
      </c>
      <c r="D273" t="inlineStr">
        <is>
          <t>The faces of homelessness / Marjorie Hope, James Young.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Hope, Marjorie.</t>
        </is>
      </c>
      <c r="L273" t="inlineStr">
        <is>
          <t>Lexington, Mass. : Lexington Books, c1986.</t>
        </is>
      </c>
      <c r="M273" t="inlineStr">
        <is>
          <t>1986</t>
        </is>
      </c>
      <c r="O273" t="inlineStr">
        <is>
          <t>eng</t>
        </is>
      </c>
      <c r="P273" t="inlineStr">
        <is>
          <t>mau</t>
        </is>
      </c>
      <c r="R273" t="inlineStr">
        <is>
          <t xml:space="preserve">HV </t>
        </is>
      </c>
      <c r="S273" t="n">
        <v>26</v>
      </c>
      <c r="T273" t="n">
        <v>26</v>
      </c>
      <c r="U273" t="inlineStr">
        <is>
          <t>2000-11-28</t>
        </is>
      </c>
      <c r="V273" t="inlineStr">
        <is>
          <t>2000-11-28</t>
        </is>
      </c>
      <c r="W273" t="inlineStr">
        <is>
          <t>1990-04-20</t>
        </is>
      </c>
      <c r="X273" t="inlineStr">
        <is>
          <t>1990-04-20</t>
        </is>
      </c>
      <c r="Y273" t="n">
        <v>857</v>
      </c>
      <c r="Z273" t="n">
        <v>788</v>
      </c>
      <c r="AA273" t="n">
        <v>797</v>
      </c>
      <c r="AB273" t="n">
        <v>4</v>
      </c>
      <c r="AC273" t="n">
        <v>4</v>
      </c>
      <c r="AD273" t="n">
        <v>23</v>
      </c>
      <c r="AE273" t="n">
        <v>23</v>
      </c>
      <c r="AF273" t="n">
        <v>8</v>
      </c>
      <c r="AG273" t="n">
        <v>8</v>
      </c>
      <c r="AH273" t="n">
        <v>6</v>
      </c>
      <c r="AI273" t="n">
        <v>6</v>
      </c>
      <c r="AJ273" t="n">
        <v>13</v>
      </c>
      <c r="AK273" t="n">
        <v>13</v>
      </c>
      <c r="AL273" t="n">
        <v>3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HYPERLINK("http://catalog.hathitrust.org/Record/000481294","HathiTrust Record")</f>
        <v/>
      </c>
      <c r="AS273">
        <f>HYPERLINK("https://creighton-primo.hosted.exlibrisgroup.com/primo-explore/search?tab=default_tab&amp;search_scope=EVERYTHING&amp;vid=01CRU&amp;lang=en_US&amp;offset=0&amp;query=any,contains,991000825769702656","Catalog Record")</f>
        <v/>
      </c>
      <c r="AT273">
        <f>HYPERLINK("http://www.worldcat.org/oclc/13423175","WorldCat Record")</f>
        <v/>
      </c>
      <c r="AU273" t="inlineStr">
        <is>
          <t>7233207:eng</t>
        </is>
      </c>
      <c r="AV273" t="inlineStr">
        <is>
          <t>13423175</t>
        </is>
      </c>
      <c r="AW273" t="inlineStr">
        <is>
          <t>991000825769702656</t>
        </is>
      </c>
      <c r="AX273" t="inlineStr">
        <is>
          <t>991000825769702656</t>
        </is>
      </c>
      <c r="AY273" t="inlineStr">
        <is>
          <t>2266143530002656</t>
        </is>
      </c>
      <c r="AZ273" t="inlineStr">
        <is>
          <t>BOOK</t>
        </is>
      </c>
      <c r="BB273" t="inlineStr">
        <is>
          <t>9780669142006</t>
        </is>
      </c>
      <c r="BC273" t="inlineStr">
        <is>
          <t>32285000123801</t>
        </is>
      </c>
      <c r="BD273" t="inlineStr">
        <is>
          <t>893407558</t>
        </is>
      </c>
    </row>
    <row r="274">
      <c r="A274" t="inlineStr">
        <is>
          <t>No</t>
        </is>
      </c>
      <c r="B274" t="inlineStr">
        <is>
          <t>HV4505 .H68 1986</t>
        </is>
      </c>
      <c r="C274" t="inlineStr">
        <is>
          <t>0                      HV 4505000H  68          1986</t>
        </is>
      </c>
      <c r="D274" t="inlineStr">
        <is>
          <t>Housing the homeless / edited by Jon Erickson and Charles Wilhelm.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L274" t="inlineStr">
        <is>
          <t>New Brunswick, N.J. : Center for Urban Policy Research, c1986.</t>
        </is>
      </c>
      <c r="M274" t="inlineStr">
        <is>
          <t>1986</t>
        </is>
      </c>
      <c r="O274" t="inlineStr">
        <is>
          <t>eng</t>
        </is>
      </c>
      <c r="P274" t="inlineStr">
        <is>
          <t>nju</t>
        </is>
      </c>
      <c r="R274" t="inlineStr">
        <is>
          <t xml:space="preserve">HV </t>
        </is>
      </c>
      <c r="S274" t="n">
        <v>30</v>
      </c>
      <c r="T274" t="n">
        <v>30</v>
      </c>
      <c r="U274" t="inlineStr">
        <is>
          <t>2010-11-16</t>
        </is>
      </c>
      <c r="V274" t="inlineStr">
        <is>
          <t>2010-11-16</t>
        </is>
      </c>
      <c r="W274" t="inlineStr">
        <is>
          <t>1990-02-14</t>
        </is>
      </c>
      <c r="X274" t="inlineStr">
        <is>
          <t>1990-02-14</t>
        </is>
      </c>
      <c r="Y274" t="n">
        <v>549</v>
      </c>
      <c r="Z274" t="n">
        <v>492</v>
      </c>
      <c r="AA274" t="n">
        <v>579</v>
      </c>
      <c r="AB274" t="n">
        <v>2</v>
      </c>
      <c r="AC274" t="n">
        <v>2</v>
      </c>
      <c r="AD274" t="n">
        <v>25</v>
      </c>
      <c r="AE274" t="n">
        <v>25</v>
      </c>
      <c r="AF274" t="n">
        <v>8</v>
      </c>
      <c r="AG274" t="n">
        <v>8</v>
      </c>
      <c r="AH274" t="n">
        <v>6</v>
      </c>
      <c r="AI274" t="n">
        <v>6</v>
      </c>
      <c r="AJ274" t="n">
        <v>11</v>
      </c>
      <c r="AK274" t="n">
        <v>11</v>
      </c>
      <c r="AL274" t="n">
        <v>1</v>
      </c>
      <c r="AM274" t="n">
        <v>1</v>
      </c>
      <c r="AN274" t="n">
        <v>3</v>
      </c>
      <c r="AO274" t="n">
        <v>3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HYPERLINK("http://catalog.hathitrust.org/Record/000430658","HathiTrust Record")</f>
        <v/>
      </c>
      <c r="AS274">
        <f>HYPERLINK("https://creighton-primo.hosted.exlibrisgroup.com/primo-explore/search?tab=default_tab&amp;search_scope=EVERYTHING&amp;vid=01CRU&amp;lang=en_US&amp;offset=0&amp;query=any,contains,991000711479702656","Catalog Record")</f>
        <v/>
      </c>
      <c r="AT274">
        <f>HYPERLINK("http://www.worldcat.org/oclc/12583592","WorldCat Record")</f>
        <v/>
      </c>
      <c r="AU274" t="inlineStr">
        <is>
          <t>392547828:eng</t>
        </is>
      </c>
      <c r="AV274" t="inlineStr">
        <is>
          <t>12583592</t>
        </is>
      </c>
      <c r="AW274" t="inlineStr">
        <is>
          <t>991000711479702656</t>
        </is>
      </c>
      <c r="AX274" t="inlineStr">
        <is>
          <t>991000711479702656</t>
        </is>
      </c>
      <c r="AY274" t="inlineStr">
        <is>
          <t>2270967380002656</t>
        </is>
      </c>
      <c r="AZ274" t="inlineStr">
        <is>
          <t>BOOK</t>
        </is>
      </c>
      <c r="BB274" t="inlineStr">
        <is>
          <t>9780882851129</t>
        </is>
      </c>
      <c r="BC274" t="inlineStr">
        <is>
          <t>32285000052554</t>
        </is>
      </c>
      <c r="BD274" t="inlineStr">
        <is>
          <t>893237550</t>
        </is>
      </c>
    </row>
    <row r="275">
      <c r="A275" t="inlineStr">
        <is>
          <t>No</t>
        </is>
      </c>
      <c r="B275" t="inlineStr">
        <is>
          <t>HV4505 .H854 1998</t>
        </is>
      </c>
      <c r="C275" t="inlineStr">
        <is>
          <t>0                      HV 4505000H  854         1998</t>
        </is>
      </c>
      <c r="D275" t="inlineStr">
        <is>
          <t>An interdependency model of homelessness : the dynamics of social disintegration / Christopher G. Hudson.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Hudson, Christopher G.</t>
        </is>
      </c>
      <c r="L275" t="inlineStr">
        <is>
          <t>Lewiston, NY : E. Mellen Press, c1998.</t>
        </is>
      </c>
      <c r="M275" t="inlineStr">
        <is>
          <t>1998</t>
        </is>
      </c>
      <c r="O275" t="inlineStr">
        <is>
          <t>eng</t>
        </is>
      </c>
      <c r="P275" t="inlineStr">
        <is>
          <t>nyu</t>
        </is>
      </c>
      <c r="Q275" t="inlineStr">
        <is>
          <t>Symposium series ; v. 48</t>
        </is>
      </c>
      <c r="R275" t="inlineStr">
        <is>
          <t xml:space="preserve">HV </t>
        </is>
      </c>
      <c r="S275" t="n">
        <v>7</v>
      </c>
      <c r="T275" t="n">
        <v>7</v>
      </c>
      <c r="U275" t="inlineStr">
        <is>
          <t>2008-11-24</t>
        </is>
      </c>
      <c r="V275" t="inlineStr">
        <is>
          <t>2008-11-24</t>
        </is>
      </c>
      <c r="W275" t="inlineStr">
        <is>
          <t>1999-11-08</t>
        </is>
      </c>
      <c r="X275" t="inlineStr">
        <is>
          <t>1999-11-08</t>
        </is>
      </c>
      <c r="Y275" t="n">
        <v>249</v>
      </c>
      <c r="Z275" t="n">
        <v>225</v>
      </c>
      <c r="AA275" t="n">
        <v>227</v>
      </c>
      <c r="AB275" t="n">
        <v>2</v>
      </c>
      <c r="AC275" t="n">
        <v>2</v>
      </c>
      <c r="AD275" t="n">
        <v>17</v>
      </c>
      <c r="AE275" t="n">
        <v>17</v>
      </c>
      <c r="AF275" t="n">
        <v>6</v>
      </c>
      <c r="AG275" t="n">
        <v>6</v>
      </c>
      <c r="AH275" t="n">
        <v>5</v>
      </c>
      <c r="AI275" t="n">
        <v>5</v>
      </c>
      <c r="AJ275" t="n">
        <v>10</v>
      </c>
      <c r="AK275" t="n">
        <v>10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HYPERLINK("http://catalog.hathitrust.org/Record/004029516","HathiTrust Record")</f>
        <v/>
      </c>
      <c r="AS275">
        <f>HYPERLINK("https://creighton-primo.hosted.exlibrisgroup.com/primo-explore/search?tab=default_tab&amp;search_scope=EVERYTHING&amp;vid=01CRU&amp;lang=en_US&amp;offset=0&amp;query=any,contains,991002943689702656","Catalog Record")</f>
        <v/>
      </c>
      <c r="AT275">
        <f>HYPERLINK("http://www.worldcat.org/oclc/39195319","WorldCat Record")</f>
        <v/>
      </c>
      <c r="AU275" t="inlineStr">
        <is>
          <t>42603205:eng</t>
        </is>
      </c>
      <c r="AV275" t="inlineStr">
        <is>
          <t>39195319</t>
        </is>
      </c>
      <c r="AW275" t="inlineStr">
        <is>
          <t>991002943689702656</t>
        </is>
      </c>
      <c r="AX275" t="inlineStr">
        <is>
          <t>991002943689702656</t>
        </is>
      </c>
      <c r="AY275" t="inlineStr">
        <is>
          <t>2267405720002656</t>
        </is>
      </c>
      <c r="AZ275" t="inlineStr">
        <is>
          <t>BOOK</t>
        </is>
      </c>
      <c r="BB275" t="inlineStr">
        <is>
          <t>9780773482883</t>
        </is>
      </c>
      <c r="BC275" t="inlineStr">
        <is>
          <t>32285003618922</t>
        </is>
      </c>
      <c r="BD275" t="inlineStr">
        <is>
          <t>893880614</t>
        </is>
      </c>
    </row>
    <row r="276">
      <c r="A276" t="inlineStr">
        <is>
          <t>No</t>
        </is>
      </c>
      <c r="B276" t="inlineStr">
        <is>
          <t>HV4505 .P47 1997</t>
        </is>
      </c>
      <c r="C276" t="inlineStr">
        <is>
          <t>0                      HV 4505000P  47          1997</t>
        </is>
      </c>
      <c r="D276" t="inlineStr">
        <is>
          <t>"Not just a shelter kid" : how homeless children find solace / Melanie Smith Percy.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Percy, Melanie Smith, 1955-</t>
        </is>
      </c>
      <c r="L276" t="inlineStr">
        <is>
          <t>New York : Garland Pub., 1997.</t>
        </is>
      </c>
      <c r="M276" t="inlineStr">
        <is>
          <t>1997</t>
        </is>
      </c>
      <c r="O276" t="inlineStr">
        <is>
          <t>eng</t>
        </is>
      </c>
      <c r="P276" t="inlineStr">
        <is>
          <t>nyu</t>
        </is>
      </c>
      <c r="Q276" t="inlineStr">
        <is>
          <t>Children of poverty</t>
        </is>
      </c>
      <c r="R276" t="inlineStr">
        <is>
          <t xml:space="preserve">HV </t>
        </is>
      </c>
      <c r="S276" t="n">
        <v>11</v>
      </c>
      <c r="T276" t="n">
        <v>11</v>
      </c>
      <c r="U276" t="inlineStr">
        <is>
          <t>2001-06-11</t>
        </is>
      </c>
      <c r="V276" t="inlineStr">
        <is>
          <t>2001-06-11</t>
        </is>
      </c>
      <c r="W276" t="inlineStr">
        <is>
          <t>1997-04-23</t>
        </is>
      </c>
      <c r="X276" t="inlineStr">
        <is>
          <t>1997-04-23</t>
        </is>
      </c>
      <c r="Y276" t="n">
        <v>194</v>
      </c>
      <c r="Z276" t="n">
        <v>158</v>
      </c>
      <c r="AA276" t="n">
        <v>181</v>
      </c>
      <c r="AB276" t="n">
        <v>3</v>
      </c>
      <c r="AC276" t="n">
        <v>3</v>
      </c>
      <c r="AD276" t="n">
        <v>8</v>
      </c>
      <c r="AE276" t="n">
        <v>8</v>
      </c>
      <c r="AF276" t="n">
        <v>1</v>
      </c>
      <c r="AG276" t="n">
        <v>1</v>
      </c>
      <c r="AH276" t="n">
        <v>3</v>
      </c>
      <c r="AI276" t="n">
        <v>3</v>
      </c>
      <c r="AJ276" t="n">
        <v>4</v>
      </c>
      <c r="AK276" t="n">
        <v>4</v>
      </c>
      <c r="AL276" t="n">
        <v>2</v>
      </c>
      <c r="AM276" t="n">
        <v>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HYPERLINK("https://creighton-primo.hosted.exlibrisgroup.com/primo-explore/search?tab=default_tab&amp;search_scope=EVERYTHING&amp;vid=01CRU&amp;lang=en_US&amp;offset=0&amp;query=any,contains,991002755359702656","Catalog Record")</f>
        <v/>
      </c>
      <c r="AT276">
        <f>HYPERLINK("http://www.worldcat.org/oclc/36138306","WorldCat Record")</f>
        <v/>
      </c>
      <c r="AU276" t="inlineStr">
        <is>
          <t>623605:eng</t>
        </is>
      </c>
      <c r="AV276" t="inlineStr">
        <is>
          <t>36138306</t>
        </is>
      </c>
      <c r="AW276" t="inlineStr">
        <is>
          <t>991002755359702656</t>
        </is>
      </c>
      <c r="AX276" t="inlineStr">
        <is>
          <t>991002755359702656</t>
        </is>
      </c>
      <c r="AY276" t="inlineStr">
        <is>
          <t>2260713390002656</t>
        </is>
      </c>
      <c r="AZ276" t="inlineStr">
        <is>
          <t>BOOK</t>
        </is>
      </c>
      <c r="BB276" t="inlineStr">
        <is>
          <t>9780815326182</t>
        </is>
      </c>
      <c r="BC276" t="inlineStr">
        <is>
          <t>32285002499951</t>
        </is>
      </c>
      <c r="BD276" t="inlineStr">
        <is>
          <t>893317220</t>
        </is>
      </c>
    </row>
    <row r="277">
      <c r="A277" t="inlineStr">
        <is>
          <t>No</t>
        </is>
      </c>
      <c r="B277" t="inlineStr">
        <is>
          <t>HV4505 .P74 1998</t>
        </is>
      </c>
      <c r="C277" t="inlineStr">
        <is>
          <t>0                      HV 4505000P  74          1998</t>
        </is>
      </c>
      <c r="D277" t="inlineStr">
        <is>
          <t>Preserving childhood for children in shelters / edited by Thelma Harms, Adele Richardson Ray, and Pam Rolandelli.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L277" t="inlineStr">
        <is>
          <t>Washington, DC : CWLA Press, c1998.</t>
        </is>
      </c>
      <c r="M277" t="inlineStr">
        <is>
          <t>1998</t>
        </is>
      </c>
      <c r="O277" t="inlineStr">
        <is>
          <t>eng</t>
        </is>
      </c>
      <c r="P277" t="inlineStr">
        <is>
          <t>dcu</t>
        </is>
      </c>
      <c r="R277" t="inlineStr">
        <is>
          <t xml:space="preserve">HV </t>
        </is>
      </c>
      <c r="S277" t="n">
        <v>3</v>
      </c>
      <c r="T277" t="n">
        <v>3</v>
      </c>
      <c r="U277" t="inlineStr">
        <is>
          <t>2010-10-12</t>
        </is>
      </c>
      <c r="V277" t="inlineStr">
        <is>
          <t>2010-10-12</t>
        </is>
      </c>
      <c r="W277" t="inlineStr">
        <is>
          <t>2001-07-18</t>
        </is>
      </c>
      <c r="X277" t="inlineStr">
        <is>
          <t>2001-07-18</t>
        </is>
      </c>
      <c r="Y277" t="n">
        <v>173</v>
      </c>
      <c r="Z277" t="n">
        <v>157</v>
      </c>
      <c r="AA277" t="n">
        <v>160</v>
      </c>
      <c r="AB277" t="n">
        <v>3</v>
      </c>
      <c r="AC277" t="n">
        <v>3</v>
      </c>
      <c r="AD277" t="n">
        <v>10</v>
      </c>
      <c r="AE277" t="n">
        <v>10</v>
      </c>
      <c r="AF277" t="n">
        <v>3</v>
      </c>
      <c r="AG277" t="n">
        <v>3</v>
      </c>
      <c r="AH277" t="n">
        <v>2</v>
      </c>
      <c r="AI277" t="n">
        <v>2</v>
      </c>
      <c r="AJ277" t="n">
        <v>6</v>
      </c>
      <c r="AK277" t="n">
        <v>6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HYPERLINK("http://catalog.hathitrust.org/Record/004028434","HathiTrust Record")</f>
        <v/>
      </c>
      <c r="AS277">
        <f>HYPERLINK("https://creighton-primo.hosted.exlibrisgroup.com/primo-explore/search?tab=default_tab&amp;search_scope=EVERYTHING&amp;vid=01CRU&amp;lang=en_US&amp;offset=0&amp;query=any,contains,991003572549702656","Catalog Record")</f>
        <v/>
      </c>
      <c r="AT277">
        <f>HYPERLINK("http://www.worldcat.org/oclc/36806928","WorldCat Record")</f>
        <v/>
      </c>
      <c r="AU277" t="inlineStr">
        <is>
          <t>476334447:eng</t>
        </is>
      </c>
      <c r="AV277" t="inlineStr">
        <is>
          <t>36806928</t>
        </is>
      </c>
      <c r="AW277" t="inlineStr">
        <is>
          <t>991003572549702656</t>
        </is>
      </c>
      <c r="AX277" t="inlineStr">
        <is>
          <t>991003572549702656</t>
        </is>
      </c>
      <c r="AY277" t="inlineStr">
        <is>
          <t>2262148990002656</t>
        </is>
      </c>
      <c r="AZ277" t="inlineStr">
        <is>
          <t>BOOK</t>
        </is>
      </c>
      <c r="BB277" t="inlineStr">
        <is>
          <t>9780878686124</t>
        </is>
      </c>
      <c r="BC277" t="inlineStr">
        <is>
          <t>32285004333679</t>
        </is>
      </c>
      <c r="BD277" t="inlineStr">
        <is>
          <t>893246509</t>
        </is>
      </c>
    </row>
    <row r="278">
      <c r="A278" t="inlineStr">
        <is>
          <t>No</t>
        </is>
      </c>
      <c r="B278" t="inlineStr">
        <is>
          <t>HV4505 .R473 1992</t>
        </is>
      </c>
      <c r="C278" t="inlineStr">
        <is>
          <t>0                      HV 4505000R  473         1992</t>
        </is>
      </c>
      <c r="D278" t="inlineStr">
        <is>
          <t>Kids on the street / Carl R. Resener &amp; Judy Hall.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Resener, Carl R., 1929-</t>
        </is>
      </c>
      <c r="L278" t="inlineStr">
        <is>
          <t>Nashville, Tenn. : Broadman Press, 1992.</t>
        </is>
      </c>
      <c r="M278" t="inlineStr">
        <is>
          <t>1992</t>
        </is>
      </c>
      <c r="O278" t="inlineStr">
        <is>
          <t>eng</t>
        </is>
      </c>
      <c r="P278" t="inlineStr">
        <is>
          <t>tnu</t>
        </is>
      </c>
      <c r="R278" t="inlineStr">
        <is>
          <t xml:space="preserve">HV </t>
        </is>
      </c>
      <c r="S278" t="n">
        <v>32</v>
      </c>
      <c r="T278" t="n">
        <v>32</v>
      </c>
      <c r="U278" t="inlineStr">
        <is>
          <t>1999-04-23</t>
        </is>
      </c>
      <c r="V278" t="inlineStr">
        <is>
          <t>1999-04-23</t>
        </is>
      </c>
      <c r="W278" t="inlineStr">
        <is>
          <t>1992-04-02</t>
        </is>
      </c>
      <c r="X278" t="inlineStr">
        <is>
          <t>1992-04-02</t>
        </is>
      </c>
      <c r="Y278" t="n">
        <v>87</v>
      </c>
      <c r="Z278" t="n">
        <v>84</v>
      </c>
      <c r="AA278" t="n">
        <v>85</v>
      </c>
      <c r="AB278" t="n">
        <v>1</v>
      </c>
      <c r="AC278" t="n">
        <v>1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HYPERLINK("http://catalog.hathitrust.org/Record/009136661","HathiTrust Record")</f>
        <v/>
      </c>
      <c r="AS278">
        <f>HYPERLINK("https://creighton-primo.hosted.exlibrisgroup.com/primo-explore/search?tab=default_tab&amp;search_scope=EVERYTHING&amp;vid=01CRU&amp;lang=en_US&amp;offset=0&amp;query=any,contains,991001903709702656","Catalog Record")</f>
        <v/>
      </c>
      <c r="AT278">
        <f>HYPERLINK("http://www.worldcat.org/oclc/24065385","WorldCat Record")</f>
        <v/>
      </c>
      <c r="AU278" t="inlineStr">
        <is>
          <t>25086014:eng</t>
        </is>
      </c>
      <c r="AV278" t="inlineStr">
        <is>
          <t>24065385</t>
        </is>
      </c>
      <c r="AW278" t="inlineStr">
        <is>
          <t>991001903709702656</t>
        </is>
      </c>
      <c r="AX278" t="inlineStr">
        <is>
          <t>991001903709702656</t>
        </is>
      </c>
      <c r="AY278" t="inlineStr">
        <is>
          <t>2263976780002656</t>
        </is>
      </c>
      <c r="AZ278" t="inlineStr">
        <is>
          <t>BOOK</t>
        </is>
      </c>
      <c r="BB278" t="inlineStr">
        <is>
          <t>9780805450910</t>
        </is>
      </c>
      <c r="BC278" t="inlineStr">
        <is>
          <t>32285001007839</t>
        </is>
      </c>
      <c r="BD278" t="inlineStr">
        <is>
          <t>893497520</t>
        </is>
      </c>
    </row>
    <row r="279">
      <c r="A279" t="inlineStr">
        <is>
          <t>No</t>
        </is>
      </c>
      <c r="B279" t="inlineStr">
        <is>
          <t>HV4505 .R66 1988</t>
        </is>
      </c>
      <c r="C279" t="inlineStr">
        <is>
          <t>0                      HV 4505000R  66          1988</t>
        </is>
      </c>
      <c r="D279" t="inlineStr">
        <is>
          <t>The invisible homeless : a new urban ecology / by Richard H. Ropers.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Ropers, Richard H.</t>
        </is>
      </c>
      <c r="L279" t="inlineStr">
        <is>
          <t>New York, N.Y. : Human Sciences Press, 1988.</t>
        </is>
      </c>
      <c r="M279" t="inlineStr">
        <is>
          <t>1988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HV </t>
        </is>
      </c>
      <c r="S279" t="n">
        <v>27</v>
      </c>
      <c r="T279" t="n">
        <v>27</v>
      </c>
      <c r="U279" t="inlineStr">
        <is>
          <t>2002-04-17</t>
        </is>
      </c>
      <c r="V279" t="inlineStr">
        <is>
          <t>2002-04-17</t>
        </is>
      </c>
      <c r="W279" t="inlineStr">
        <is>
          <t>1990-03-20</t>
        </is>
      </c>
      <c r="X279" t="inlineStr">
        <is>
          <t>1990-03-20</t>
        </is>
      </c>
      <c r="Y279" t="n">
        <v>507</v>
      </c>
      <c r="Z279" t="n">
        <v>471</v>
      </c>
      <c r="AA279" t="n">
        <v>498</v>
      </c>
      <c r="AB279" t="n">
        <v>3</v>
      </c>
      <c r="AC279" t="n">
        <v>3</v>
      </c>
      <c r="AD279" t="n">
        <v>25</v>
      </c>
      <c r="AE279" t="n">
        <v>26</v>
      </c>
      <c r="AF279" t="n">
        <v>11</v>
      </c>
      <c r="AG279" t="n">
        <v>12</v>
      </c>
      <c r="AH279" t="n">
        <v>5</v>
      </c>
      <c r="AI279" t="n">
        <v>5</v>
      </c>
      <c r="AJ279" t="n">
        <v>11</v>
      </c>
      <c r="AK279" t="n">
        <v>12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No</t>
        </is>
      </c>
      <c r="AS279">
        <f>HYPERLINK("https://creighton-primo.hosted.exlibrisgroup.com/primo-explore/search?tab=default_tab&amp;search_scope=EVERYTHING&amp;vid=01CRU&amp;lang=en_US&amp;offset=0&amp;query=any,contains,991001120829702656","Catalog Record")</f>
        <v/>
      </c>
      <c r="AT279">
        <f>HYPERLINK("http://www.worldcat.org/oclc/16580516","WorldCat Record")</f>
        <v/>
      </c>
      <c r="AU279" t="inlineStr">
        <is>
          <t>12457613:eng</t>
        </is>
      </c>
      <c r="AV279" t="inlineStr">
        <is>
          <t>16580516</t>
        </is>
      </c>
      <c r="AW279" t="inlineStr">
        <is>
          <t>991001120829702656</t>
        </is>
      </c>
      <c r="AX279" t="inlineStr">
        <is>
          <t>991001120829702656</t>
        </is>
      </c>
      <c r="AY279" t="inlineStr">
        <is>
          <t>2260358300002656</t>
        </is>
      </c>
      <c r="AZ279" t="inlineStr">
        <is>
          <t>BOOK</t>
        </is>
      </c>
      <c r="BB279" t="inlineStr">
        <is>
          <t>9780898854060</t>
        </is>
      </c>
      <c r="BC279" t="inlineStr">
        <is>
          <t>32285000087279</t>
        </is>
      </c>
      <c r="BD279" t="inlineStr">
        <is>
          <t>893426336</t>
        </is>
      </c>
    </row>
    <row r="280">
      <c r="A280" t="inlineStr">
        <is>
          <t>No</t>
        </is>
      </c>
      <c r="B280" t="inlineStr">
        <is>
          <t>HV4505 .R67 1989</t>
        </is>
      </c>
      <c r="C280" t="inlineStr">
        <is>
          <t>0                      HV 4505000R  67          1989</t>
        </is>
      </c>
      <c r="D280" t="inlineStr">
        <is>
          <t>Without shelter : homelessnes in the 1980s/ by Peter Rossi.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Rossi, Peter H. (Peter Henry), 1921-2006.</t>
        </is>
      </c>
      <c r="L280" t="inlineStr">
        <is>
          <t>New York : Priority Press Publications, 1989.</t>
        </is>
      </c>
      <c r="M280" t="inlineStr">
        <is>
          <t>1989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HV </t>
        </is>
      </c>
      <c r="S280" t="n">
        <v>10</v>
      </c>
      <c r="T280" t="n">
        <v>10</v>
      </c>
      <c r="U280" t="inlineStr">
        <is>
          <t>1996-02-09</t>
        </is>
      </c>
      <c r="V280" t="inlineStr">
        <is>
          <t>1996-02-09</t>
        </is>
      </c>
      <c r="W280" t="inlineStr">
        <is>
          <t>1992-03-18</t>
        </is>
      </c>
      <c r="X280" t="inlineStr">
        <is>
          <t>1992-03-18</t>
        </is>
      </c>
      <c r="Y280" t="n">
        <v>603</v>
      </c>
      <c r="Z280" t="n">
        <v>551</v>
      </c>
      <c r="AA280" t="n">
        <v>557</v>
      </c>
      <c r="AB280" t="n">
        <v>4</v>
      </c>
      <c r="AC280" t="n">
        <v>4</v>
      </c>
      <c r="AD280" t="n">
        <v>33</v>
      </c>
      <c r="AE280" t="n">
        <v>33</v>
      </c>
      <c r="AF280" t="n">
        <v>12</v>
      </c>
      <c r="AG280" t="n">
        <v>12</v>
      </c>
      <c r="AH280" t="n">
        <v>8</v>
      </c>
      <c r="AI280" t="n">
        <v>8</v>
      </c>
      <c r="AJ280" t="n">
        <v>17</v>
      </c>
      <c r="AK280" t="n">
        <v>17</v>
      </c>
      <c r="AL280" t="n">
        <v>3</v>
      </c>
      <c r="AM280" t="n">
        <v>3</v>
      </c>
      <c r="AN280" t="n">
        <v>2</v>
      </c>
      <c r="AO280" t="n">
        <v>2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HYPERLINK("http://catalog.hathitrust.org/Record/001536590","HathiTrust Record")</f>
        <v/>
      </c>
      <c r="AS280">
        <f>HYPERLINK("https://creighton-primo.hosted.exlibrisgroup.com/primo-explore/search?tab=default_tab&amp;search_scope=EVERYTHING&amp;vid=01CRU&amp;lang=en_US&amp;offset=0&amp;query=any,contains,991001389049702656","Catalog Record")</f>
        <v/>
      </c>
      <c r="AT280">
        <f>HYPERLINK("http://www.worldcat.org/oclc/18743243","WorldCat Record")</f>
        <v/>
      </c>
      <c r="AU280" t="inlineStr">
        <is>
          <t>235563982:eng</t>
        </is>
      </c>
      <c r="AV280" t="inlineStr">
        <is>
          <t>18743243</t>
        </is>
      </c>
      <c r="AW280" t="inlineStr">
        <is>
          <t>991001389049702656</t>
        </is>
      </c>
      <c r="AX280" t="inlineStr">
        <is>
          <t>991001389049702656</t>
        </is>
      </c>
      <c r="AY280" t="inlineStr">
        <is>
          <t>2259248830002656</t>
        </is>
      </c>
      <c r="AZ280" t="inlineStr">
        <is>
          <t>BOOK</t>
        </is>
      </c>
      <c r="BB280" t="inlineStr">
        <is>
          <t>9780870782343</t>
        </is>
      </c>
      <c r="BC280" t="inlineStr">
        <is>
          <t>32285001013753</t>
        </is>
      </c>
      <c r="BD280" t="inlineStr">
        <is>
          <t>893522542</t>
        </is>
      </c>
    </row>
    <row r="281">
      <c r="A281" t="inlineStr">
        <is>
          <t>No</t>
        </is>
      </c>
      <c r="B281" t="inlineStr">
        <is>
          <t>HV4505 .S38 1992</t>
        </is>
      </c>
      <c r="C281" t="inlineStr">
        <is>
          <t>0                      HV 4505000S  38          1992</t>
        </is>
      </c>
      <c r="D281" t="inlineStr">
        <is>
          <t>Responding to the homeless : policy and practice / Russell K. Schutt and Gerald R. Garrett with contributions by Barbara A. Blakeney ... [et al.].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Schutt, Russell K.</t>
        </is>
      </c>
      <c r="L281" t="inlineStr">
        <is>
          <t>New York : Plenum Press, c1992.</t>
        </is>
      </c>
      <c r="M281" t="inlineStr">
        <is>
          <t>1992</t>
        </is>
      </c>
      <c r="O281" t="inlineStr">
        <is>
          <t>eng</t>
        </is>
      </c>
      <c r="P281" t="inlineStr">
        <is>
          <t>nyu</t>
        </is>
      </c>
      <c r="Q281" t="inlineStr">
        <is>
          <t>The Language of science</t>
        </is>
      </c>
      <c r="R281" t="inlineStr">
        <is>
          <t xml:space="preserve">HV </t>
        </is>
      </c>
      <c r="S281" t="n">
        <v>23</v>
      </c>
      <c r="T281" t="n">
        <v>23</v>
      </c>
      <c r="U281" t="inlineStr">
        <is>
          <t>2007-03-25</t>
        </is>
      </c>
      <c r="V281" t="inlineStr">
        <is>
          <t>2007-03-25</t>
        </is>
      </c>
      <c r="W281" t="inlineStr">
        <is>
          <t>1994-03-11</t>
        </is>
      </c>
      <c r="X281" t="inlineStr">
        <is>
          <t>1994-03-11</t>
        </is>
      </c>
      <c r="Y281" t="n">
        <v>374</v>
      </c>
      <c r="Z281" t="n">
        <v>299</v>
      </c>
      <c r="AA281" t="n">
        <v>325</v>
      </c>
      <c r="AB281" t="n">
        <v>3</v>
      </c>
      <c r="AC281" t="n">
        <v>3</v>
      </c>
      <c r="AD281" t="n">
        <v>19</v>
      </c>
      <c r="AE281" t="n">
        <v>20</v>
      </c>
      <c r="AF281" t="n">
        <v>8</v>
      </c>
      <c r="AG281" t="n">
        <v>9</v>
      </c>
      <c r="AH281" t="n">
        <v>4</v>
      </c>
      <c r="AI281" t="n">
        <v>4</v>
      </c>
      <c r="AJ281" t="n">
        <v>10</v>
      </c>
      <c r="AK281" t="n">
        <v>10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HYPERLINK("http://catalog.hathitrust.org/Record/002545479","HathiTrust Record")</f>
        <v/>
      </c>
      <c r="AS281">
        <f>HYPERLINK("https://creighton-primo.hosted.exlibrisgroup.com/primo-explore/search?tab=default_tab&amp;search_scope=EVERYTHING&amp;vid=01CRU&amp;lang=en_US&amp;offset=0&amp;query=any,contains,991001987709702656","Catalog Record")</f>
        <v/>
      </c>
      <c r="AT281">
        <f>HYPERLINK("http://www.worldcat.org/oclc/25246660","WorldCat Record")</f>
        <v/>
      </c>
      <c r="AU281" t="inlineStr">
        <is>
          <t>836867177:eng</t>
        </is>
      </c>
      <c r="AV281" t="inlineStr">
        <is>
          <t>25246660</t>
        </is>
      </c>
      <c r="AW281" t="inlineStr">
        <is>
          <t>991001987709702656</t>
        </is>
      </c>
      <c r="AX281" t="inlineStr">
        <is>
          <t>991001987709702656</t>
        </is>
      </c>
      <c r="AY281" t="inlineStr">
        <is>
          <t>2256249230002656</t>
        </is>
      </c>
      <c r="AZ281" t="inlineStr">
        <is>
          <t>BOOK</t>
        </is>
      </c>
      <c r="BB281" t="inlineStr">
        <is>
          <t>9780306440762</t>
        </is>
      </c>
      <c r="BC281" t="inlineStr">
        <is>
          <t>32285001844579</t>
        </is>
      </c>
      <c r="BD281" t="inlineStr">
        <is>
          <t>893226313</t>
        </is>
      </c>
    </row>
    <row r="282">
      <c r="A282" t="inlineStr">
        <is>
          <t>No</t>
        </is>
      </c>
      <c r="B282" t="inlineStr">
        <is>
          <t>HV4505 .S53 1996</t>
        </is>
      </c>
      <c r="C282" t="inlineStr">
        <is>
          <t>0                      HV 4505000S  53          1996</t>
        </is>
      </c>
      <c r="D282" t="inlineStr">
        <is>
          <t>What about America's homeless children? : hide and seek / Paul G. Shane.</t>
        </is>
      </c>
      <c r="F282" t="inlineStr">
        <is>
          <t>No</t>
        </is>
      </c>
      <c r="G282" t="inlineStr">
        <is>
          <t>1</t>
        </is>
      </c>
      <c r="H282" t="inlineStr">
        <is>
          <t>Yes</t>
        </is>
      </c>
      <c r="I282" t="inlineStr">
        <is>
          <t>No</t>
        </is>
      </c>
      <c r="J282" t="inlineStr">
        <is>
          <t>0</t>
        </is>
      </c>
      <c r="K282" t="inlineStr">
        <is>
          <t>Shane, Paul G., 1935-</t>
        </is>
      </c>
      <c r="L282" t="inlineStr">
        <is>
          <t>Thousand Oaks : Sage Publications, c1996.</t>
        </is>
      </c>
      <c r="M282" t="inlineStr">
        <is>
          <t>1996</t>
        </is>
      </c>
      <c r="O282" t="inlineStr">
        <is>
          <t>eng</t>
        </is>
      </c>
      <c r="P282" t="inlineStr">
        <is>
          <t>cau</t>
        </is>
      </c>
      <c r="Q282" t="inlineStr">
        <is>
          <t>Sage sourcebooks for the human services series ; 32</t>
        </is>
      </c>
      <c r="R282" t="inlineStr">
        <is>
          <t xml:space="preserve">HV </t>
        </is>
      </c>
      <c r="S282" t="n">
        <v>10</v>
      </c>
      <c r="T282" t="n">
        <v>10</v>
      </c>
      <c r="U282" t="inlineStr">
        <is>
          <t>2006-04-04</t>
        </is>
      </c>
      <c r="V282" t="inlineStr">
        <is>
          <t>2006-04-04</t>
        </is>
      </c>
      <c r="W282" t="inlineStr">
        <is>
          <t>1997-01-14</t>
        </is>
      </c>
      <c r="X282" t="inlineStr">
        <is>
          <t>1997-01-14</t>
        </is>
      </c>
      <c r="Y282" t="n">
        <v>566</v>
      </c>
      <c r="Z282" t="n">
        <v>512</v>
      </c>
      <c r="AA282" t="n">
        <v>519</v>
      </c>
      <c r="AB282" t="n">
        <v>7</v>
      </c>
      <c r="AC282" t="n">
        <v>7</v>
      </c>
      <c r="AD282" t="n">
        <v>34</v>
      </c>
      <c r="AE282" t="n">
        <v>34</v>
      </c>
      <c r="AF282" t="n">
        <v>13</v>
      </c>
      <c r="AG282" t="n">
        <v>13</v>
      </c>
      <c r="AH282" t="n">
        <v>10</v>
      </c>
      <c r="AI282" t="n">
        <v>10</v>
      </c>
      <c r="AJ282" t="n">
        <v>15</v>
      </c>
      <c r="AK282" t="n">
        <v>15</v>
      </c>
      <c r="AL282" t="n">
        <v>5</v>
      </c>
      <c r="AM282" t="n">
        <v>5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HYPERLINK("http://catalog.hathitrust.org/Record/003110457","HathiTrust Record")</f>
        <v/>
      </c>
      <c r="AS282">
        <f>HYPERLINK("https://creighton-primo.hosted.exlibrisgroup.com/primo-explore/search?tab=default_tab&amp;search_scope=EVERYTHING&amp;vid=01CRU&amp;lang=en_US&amp;offset=0&amp;query=any,contains,991001671319702656","Catalog Record")</f>
        <v/>
      </c>
      <c r="AT282">
        <f>HYPERLINK("http://www.worldcat.org/oclc/34547555","WorldCat Record")</f>
        <v/>
      </c>
      <c r="AU282" t="inlineStr">
        <is>
          <t>40625191:eng</t>
        </is>
      </c>
      <c r="AV282" t="inlineStr">
        <is>
          <t>34547555</t>
        </is>
      </c>
      <c r="AW282" t="inlineStr">
        <is>
          <t>991001671319702656</t>
        </is>
      </c>
      <c r="AX282" t="inlineStr">
        <is>
          <t>991001671319702656</t>
        </is>
      </c>
      <c r="AY282" t="inlineStr">
        <is>
          <t>2263601870002656</t>
        </is>
      </c>
      <c r="AZ282" t="inlineStr">
        <is>
          <t>BOOK</t>
        </is>
      </c>
      <c r="BB282" t="inlineStr">
        <is>
          <t>9780803949829</t>
        </is>
      </c>
      <c r="BC282" t="inlineStr">
        <is>
          <t>32285002407160</t>
        </is>
      </c>
      <c r="BD282" t="inlineStr">
        <is>
          <t>893684514</t>
        </is>
      </c>
    </row>
    <row r="283">
      <c r="A283" t="inlineStr">
        <is>
          <t>No</t>
        </is>
      </c>
      <c r="B283" t="inlineStr">
        <is>
          <t>HV4505 .S78 1989</t>
        </is>
      </c>
      <c r="C283" t="inlineStr">
        <is>
          <t>0                      HV 4505000S  78          1989</t>
        </is>
      </c>
      <c r="D283" t="inlineStr">
        <is>
          <t>Inventing a non-homeless future : a public policy agenda for preventing homelessness / Madeleine R. Stoner.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Stoner, Madeleine R.</t>
        </is>
      </c>
      <c r="L283" t="inlineStr">
        <is>
          <t>New York : P. Lang, c1989.</t>
        </is>
      </c>
      <c r="M283" t="inlineStr">
        <is>
          <t>1989</t>
        </is>
      </c>
      <c r="O283" t="inlineStr">
        <is>
          <t>eng</t>
        </is>
      </c>
      <c r="P283" t="inlineStr">
        <is>
          <t>nyu</t>
        </is>
      </c>
      <c r="Q283" t="inlineStr">
        <is>
          <t>American university studies. Series XI, Anthropology/sociology, 0740-0489 ; v. 29</t>
        </is>
      </c>
      <c r="R283" t="inlineStr">
        <is>
          <t xml:space="preserve">HV </t>
        </is>
      </c>
      <c r="S283" t="n">
        <v>28</v>
      </c>
      <c r="T283" t="n">
        <v>28</v>
      </c>
      <c r="U283" t="inlineStr">
        <is>
          <t>1997-07-10</t>
        </is>
      </c>
      <c r="V283" t="inlineStr">
        <is>
          <t>1997-07-10</t>
        </is>
      </c>
      <c r="W283" t="inlineStr">
        <is>
          <t>1991-02-08</t>
        </is>
      </c>
      <c r="X283" t="inlineStr">
        <is>
          <t>1991-02-08</t>
        </is>
      </c>
      <c r="Y283" t="n">
        <v>263</v>
      </c>
      <c r="Z283" t="n">
        <v>229</v>
      </c>
      <c r="AA283" t="n">
        <v>235</v>
      </c>
      <c r="AB283" t="n">
        <v>2</v>
      </c>
      <c r="AC283" t="n">
        <v>2</v>
      </c>
      <c r="AD283" t="n">
        <v>14</v>
      </c>
      <c r="AE283" t="n">
        <v>14</v>
      </c>
      <c r="AF283" t="n">
        <v>3</v>
      </c>
      <c r="AG283" t="n">
        <v>3</v>
      </c>
      <c r="AH283" t="n">
        <v>5</v>
      </c>
      <c r="AI283" t="n">
        <v>5</v>
      </c>
      <c r="AJ283" t="n">
        <v>5</v>
      </c>
      <c r="AK283" t="n">
        <v>5</v>
      </c>
      <c r="AL283" t="n">
        <v>1</v>
      </c>
      <c r="AM283" t="n">
        <v>1</v>
      </c>
      <c r="AN283" t="n">
        <v>2</v>
      </c>
      <c r="AO283" t="n">
        <v>2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HYPERLINK("http://catalog.hathitrust.org/Record/002554127","HathiTrust Record")</f>
        <v/>
      </c>
      <c r="AS283">
        <f>HYPERLINK("https://creighton-primo.hosted.exlibrisgroup.com/primo-explore/search?tab=default_tab&amp;search_scope=EVERYTHING&amp;vid=01CRU&amp;lang=en_US&amp;offset=0&amp;query=any,contains,991001418659702656","Catalog Record")</f>
        <v/>
      </c>
      <c r="AT283">
        <f>HYPERLINK("http://www.worldcat.org/oclc/18960637","WorldCat Record")</f>
        <v/>
      </c>
      <c r="AU283" t="inlineStr">
        <is>
          <t>296782444:eng</t>
        </is>
      </c>
      <c r="AV283" t="inlineStr">
        <is>
          <t>18960637</t>
        </is>
      </c>
      <c r="AW283" t="inlineStr">
        <is>
          <t>991001418659702656</t>
        </is>
      </c>
      <c r="AX283" t="inlineStr">
        <is>
          <t>991001418659702656</t>
        </is>
      </c>
      <c r="AY283" t="inlineStr">
        <is>
          <t>2263911890002656</t>
        </is>
      </c>
      <c r="AZ283" t="inlineStr">
        <is>
          <t>BOOK</t>
        </is>
      </c>
      <c r="BB283" t="inlineStr">
        <is>
          <t>9780820410487</t>
        </is>
      </c>
      <c r="BC283" t="inlineStr">
        <is>
          <t>32285000463736</t>
        </is>
      </c>
      <c r="BD283" t="inlineStr">
        <is>
          <t>893503407</t>
        </is>
      </c>
    </row>
    <row r="284">
      <c r="A284" t="inlineStr">
        <is>
          <t>No</t>
        </is>
      </c>
      <c r="B284" t="inlineStr">
        <is>
          <t>HV4505 .W43 1999</t>
        </is>
      </c>
      <c r="C284" t="inlineStr">
        <is>
          <t>0                      HV 4505000W  43          1999</t>
        </is>
      </c>
      <c r="D284" t="inlineStr">
        <is>
          <t>Nowhere to grow : homeless and runaway adolescents and their families / Les B. Whitbeck and Dan R. Hoyt.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Whitbeck, Les B.</t>
        </is>
      </c>
      <c r="L284" t="inlineStr">
        <is>
          <t>New York : Aldine de Gruyer, c1999.</t>
        </is>
      </c>
      <c r="M284" t="inlineStr">
        <is>
          <t>1999</t>
        </is>
      </c>
      <c r="O284" t="inlineStr">
        <is>
          <t>eng</t>
        </is>
      </c>
      <c r="P284" t="inlineStr">
        <is>
          <t>nyu</t>
        </is>
      </c>
      <c r="Q284" t="inlineStr">
        <is>
          <t>Social institutions and social change</t>
        </is>
      </c>
      <c r="R284" t="inlineStr">
        <is>
          <t xml:space="preserve">HV </t>
        </is>
      </c>
      <c r="S284" t="n">
        <v>5</v>
      </c>
      <c r="T284" t="n">
        <v>5</v>
      </c>
      <c r="U284" t="inlineStr">
        <is>
          <t>2002-11-17</t>
        </is>
      </c>
      <c r="V284" t="inlineStr">
        <is>
          <t>2002-11-17</t>
        </is>
      </c>
      <c r="W284" t="inlineStr">
        <is>
          <t>1999-10-07</t>
        </is>
      </c>
      <c r="X284" t="inlineStr">
        <is>
          <t>1999-10-07</t>
        </is>
      </c>
      <c r="Y284" t="n">
        <v>684</v>
      </c>
      <c r="Z284" t="n">
        <v>619</v>
      </c>
      <c r="AA284" t="n">
        <v>641</v>
      </c>
      <c r="AB284" t="n">
        <v>5</v>
      </c>
      <c r="AC284" t="n">
        <v>6</v>
      </c>
      <c r="AD284" t="n">
        <v>35</v>
      </c>
      <c r="AE284" t="n">
        <v>36</v>
      </c>
      <c r="AF284" t="n">
        <v>14</v>
      </c>
      <c r="AG284" t="n">
        <v>14</v>
      </c>
      <c r="AH284" t="n">
        <v>9</v>
      </c>
      <c r="AI284" t="n">
        <v>9</v>
      </c>
      <c r="AJ284" t="n">
        <v>19</v>
      </c>
      <c r="AK284" t="n">
        <v>19</v>
      </c>
      <c r="AL284" t="n">
        <v>4</v>
      </c>
      <c r="AM284" t="n">
        <v>5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HYPERLINK("https://creighton-primo.hosted.exlibrisgroup.com/primo-explore/search?tab=default_tab&amp;search_scope=EVERYTHING&amp;vid=01CRU&amp;lang=en_US&amp;offset=0&amp;query=any,contains,991003004079702656","Catalog Record")</f>
        <v/>
      </c>
      <c r="AT284">
        <f>HYPERLINK("http://www.worldcat.org/oclc/40698694","WorldCat Record")</f>
        <v/>
      </c>
      <c r="AU284" t="inlineStr">
        <is>
          <t>196436188:eng</t>
        </is>
      </c>
      <c r="AV284" t="inlineStr">
        <is>
          <t>40698694</t>
        </is>
      </c>
      <c r="AW284" t="inlineStr">
        <is>
          <t>991003004079702656</t>
        </is>
      </c>
      <c r="AX284" t="inlineStr">
        <is>
          <t>991003004079702656</t>
        </is>
      </c>
      <c r="AY284" t="inlineStr">
        <is>
          <t>2264559820002656</t>
        </is>
      </c>
      <c r="AZ284" t="inlineStr">
        <is>
          <t>BOOK</t>
        </is>
      </c>
      <c r="BB284" t="inlineStr">
        <is>
          <t>9780202305837</t>
        </is>
      </c>
      <c r="BC284" t="inlineStr">
        <is>
          <t>32285003593273</t>
        </is>
      </c>
      <c r="BD284" t="inlineStr">
        <is>
          <t>893774286</t>
        </is>
      </c>
    </row>
    <row r="285">
      <c r="A285" t="inlineStr">
        <is>
          <t>No</t>
        </is>
      </c>
      <c r="B285" t="inlineStr">
        <is>
          <t>HV4505 .W76 1998</t>
        </is>
      </c>
      <c r="C285" t="inlineStr">
        <is>
          <t>0                      HV 4505000W  76          1998</t>
        </is>
      </c>
      <c r="D285" t="inlineStr">
        <is>
          <t>Beside the golden door : policy, politics, and the homeless / James D. Wright, Beth A. Rubin, and Joel A. Devine.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Wright, James D.</t>
        </is>
      </c>
      <c r="L285" t="inlineStr">
        <is>
          <t>New York : Aldine de Gruyter, c1998.</t>
        </is>
      </c>
      <c r="M285" t="inlineStr">
        <is>
          <t>1998</t>
        </is>
      </c>
      <c r="O285" t="inlineStr">
        <is>
          <t>eng</t>
        </is>
      </c>
      <c r="P285" t="inlineStr">
        <is>
          <t>nyu</t>
        </is>
      </c>
      <c r="Q285" t="inlineStr">
        <is>
          <t>Social institutions and social change</t>
        </is>
      </c>
      <c r="R285" t="inlineStr">
        <is>
          <t xml:space="preserve">HV </t>
        </is>
      </c>
      <c r="S285" t="n">
        <v>7</v>
      </c>
      <c r="T285" t="n">
        <v>7</v>
      </c>
      <c r="U285" t="inlineStr">
        <is>
          <t>2010-10-12</t>
        </is>
      </c>
      <c r="V285" t="inlineStr">
        <is>
          <t>2010-10-12</t>
        </is>
      </c>
      <c r="W285" t="inlineStr">
        <is>
          <t>1998-12-08</t>
        </is>
      </c>
      <c r="X285" t="inlineStr">
        <is>
          <t>1998-12-08</t>
        </is>
      </c>
      <c r="Y285" t="n">
        <v>651</v>
      </c>
      <c r="Z285" t="n">
        <v>593</v>
      </c>
      <c r="AA285" t="n">
        <v>597</v>
      </c>
      <c r="AB285" t="n">
        <v>5</v>
      </c>
      <c r="AC285" t="n">
        <v>5</v>
      </c>
      <c r="AD285" t="n">
        <v>33</v>
      </c>
      <c r="AE285" t="n">
        <v>33</v>
      </c>
      <c r="AF285" t="n">
        <v>12</v>
      </c>
      <c r="AG285" t="n">
        <v>12</v>
      </c>
      <c r="AH285" t="n">
        <v>8</v>
      </c>
      <c r="AI285" t="n">
        <v>8</v>
      </c>
      <c r="AJ285" t="n">
        <v>17</v>
      </c>
      <c r="AK285" t="n">
        <v>17</v>
      </c>
      <c r="AL285" t="n">
        <v>4</v>
      </c>
      <c r="AM285" t="n">
        <v>4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HYPERLINK("https://creighton-primo.hosted.exlibrisgroup.com/primo-explore/search?tab=default_tab&amp;search_scope=EVERYTHING&amp;vid=01CRU&amp;lang=en_US&amp;offset=0&amp;query=any,contains,991002893359702656","Catalog Record")</f>
        <v/>
      </c>
      <c r="AT285">
        <f>HYPERLINK("http://www.worldcat.org/oclc/38120670","WorldCat Record")</f>
        <v/>
      </c>
      <c r="AU285" t="inlineStr">
        <is>
          <t>372904541:eng</t>
        </is>
      </c>
      <c r="AV285" t="inlineStr">
        <is>
          <t>38120670</t>
        </is>
      </c>
      <c r="AW285" t="inlineStr">
        <is>
          <t>991002893359702656</t>
        </is>
      </c>
      <c r="AX285" t="inlineStr">
        <is>
          <t>991002893359702656</t>
        </is>
      </c>
      <c r="AY285" t="inlineStr">
        <is>
          <t>2265326800002656</t>
        </is>
      </c>
      <c r="AZ285" t="inlineStr">
        <is>
          <t>BOOK</t>
        </is>
      </c>
      <c r="BB285" t="inlineStr">
        <is>
          <t>9780202306131</t>
        </is>
      </c>
      <c r="BC285" t="inlineStr">
        <is>
          <t>32285003494589</t>
        </is>
      </c>
      <c r="BD285" t="inlineStr">
        <is>
          <t>893530606</t>
        </is>
      </c>
    </row>
    <row r="286">
      <c r="A286" t="inlineStr">
        <is>
          <t>No</t>
        </is>
      </c>
      <c r="B286" t="inlineStr">
        <is>
          <t>HV4505 .Y45 1994</t>
        </is>
      </c>
      <c r="C286" t="inlineStr">
        <is>
          <t>0                      HV 4505000Y  45          1994</t>
        </is>
      </c>
      <c r="D286" t="inlineStr">
        <is>
          <t>The politics of ending homelessness / Susan Yeich.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Yeich, Susan.</t>
        </is>
      </c>
      <c r="L286" t="inlineStr">
        <is>
          <t>Lanham, Md. : University Press of America, c1994.</t>
        </is>
      </c>
      <c r="M286" t="inlineStr">
        <is>
          <t>1994</t>
        </is>
      </c>
      <c r="O286" t="inlineStr">
        <is>
          <t>eng</t>
        </is>
      </c>
      <c r="P286" t="inlineStr">
        <is>
          <t>mdu</t>
        </is>
      </c>
      <c r="R286" t="inlineStr">
        <is>
          <t xml:space="preserve">HV </t>
        </is>
      </c>
      <c r="S286" t="n">
        <v>10</v>
      </c>
      <c r="T286" t="n">
        <v>10</v>
      </c>
      <c r="U286" t="inlineStr">
        <is>
          <t>2010-03-08</t>
        </is>
      </c>
      <c r="V286" t="inlineStr">
        <is>
          <t>2010-03-08</t>
        </is>
      </c>
      <c r="W286" t="inlineStr">
        <is>
          <t>1994-06-28</t>
        </is>
      </c>
      <c r="X286" t="inlineStr">
        <is>
          <t>1994-06-28</t>
        </is>
      </c>
      <c r="Y286" t="n">
        <v>246</v>
      </c>
      <c r="Z286" t="n">
        <v>219</v>
      </c>
      <c r="AA286" t="n">
        <v>239</v>
      </c>
      <c r="AB286" t="n">
        <v>2</v>
      </c>
      <c r="AC286" t="n">
        <v>2</v>
      </c>
      <c r="AD286" t="n">
        <v>13</v>
      </c>
      <c r="AE286" t="n">
        <v>15</v>
      </c>
      <c r="AF286" t="n">
        <v>4</v>
      </c>
      <c r="AG286" t="n">
        <v>5</v>
      </c>
      <c r="AH286" t="n">
        <v>4</v>
      </c>
      <c r="AI286" t="n">
        <v>5</v>
      </c>
      <c r="AJ286" t="n">
        <v>7</v>
      </c>
      <c r="AK286" t="n">
        <v>7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HYPERLINK("http://catalog.hathitrust.org/Record/002806527","HathiTrust Record")</f>
        <v/>
      </c>
      <c r="AS286">
        <f>HYPERLINK("https://creighton-primo.hosted.exlibrisgroup.com/primo-explore/search?tab=default_tab&amp;search_scope=EVERYTHING&amp;vid=01CRU&amp;lang=en_US&amp;offset=0&amp;query=any,contains,991002255709702656","Catalog Record")</f>
        <v/>
      </c>
      <c r="AT286">
        <f>HYPERLINK("http://www.worldcat.org/oclc/29223200","WorldCat Record")</f>
        <v/>
      </c>
      <c r="AU286" t="inlineStr">
        <is>
          <t>20646544:eng</t>
        </is>
      </c>
      <c r="AV286" t="inlineStr">
        <is>
          <t>29223200</t>
        </is>
      </c>
      <c r="AW286" t="inlineStr">
        <is>
          <t>991002255709702656</t>
        </is>
      </c>
      <c r="AX286" t="inlineStr">
        <is>
          <t>991002255709702656</t>
        </is>
      </c>
      <c r="AY286" t="inlineStr">
        <is>
          <t>2262618080002656</t>
        </is>
      </c>
      <c r="AZ286" t="inlineStr">
        <is>
          <t>BOOK</t>
        </is>
      </c>
      <c r="BB286" t="inlineStr">
        <is>
          <t>9780819193667</t>
        </is>
      </c>
      <c r="BC286" t="inlineStr">
        <is>
          <t>32285001924645</t>
        </is>
      </c>
      <c r="BD286" t="inlineStr">
        <is>
          <t>893804394</t>
        </is>
      </c>
    </row>
    <row r="287">
      <c r="A287" t="inlineStr">
        <is>
          <t>No</t>
        </is>
      </c>
      <c r="B287" t="inlineStr">
        <is>
          <t>HV4506.B74 L46 2009</t>
        </is>
      </c>
      <c r="C287" t="inlineStr">
        <is>
          <t>0                      HV 4506000B  74                 L  46          2009</t>
        </is>
      </c>
      <c r="D287" t="inlineStr">
        <is>
          <t>Breakfast at Sally's : one homeless man's inspirational journey / Richard LeMieux ; with illustrations by Michael Gordon.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LeMieux, Richard.</t>
        </is>
      </c>
      <c r="L287" t="inlineStr">
        <is>
          <t>New York : Skyhorse Pub., c2009.</t>
        </is>
      </c>
      <c r="M287" t="inlineStr">
        <is>
          <t>2009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HV </t>
        </is>
      </c>
      <c r="S287" t="n">
        <v>6</v>
      </c>
      <c r="T287" t="n">
        <v>6</v>
      </c>
      <c r="U287" t="inlineStr">
        <is>
          <t>2010-10-12</t>
        </is>
      </c>
      <c r="V287" t="inlineStr">
        <is>
          <t>2010-10-12</t>
        </is>
      </c>
      <c r="W287" t="inlineStr">
        <is>
          <t>2010-04-13</t>
        </is>
      </c>
      <c r="X287" t="inlineStr">
        <is>
          <t>2010-04-13</t>
        </is>
      </c>
      <c r="Y287" t="n">
        <v>51</v>
      </c>
      <c r="Z287" t="n">
        <v>50</v>
      </c>
      <c r="AA287" t="n">
        <v>932</v>
      </c>
      <c r="AB287" t="n">
        <v>2</v>
      </c>
      <c r="AC287" t="n">
        <v>16</v>
      </c>
      <c r="AD287" t="n">
        <v>0</v>
      </c>
      <c r="AE287" t="n">
        <v>6</v>
      </c>
      <c r="AF287" t="n">
        <v>0</v>
      </c>
      <c r="AG287" t="n">
        <v>1</v>
      </c>
      <c r="AH287" t="n">
        <v>0</v>
      </c>
      <c r="AI287" t="n">
        <v>3</v>
      </c>
      <c r="AJ287" t="n">
        <v>0</v>
      </c>
      <c r="AK287" t="n">
        <v>0</v>
      </c>
      <c r="AL287" t="n">
        <v>0</v>
      </c>
      <c r="AM287" t="n">
        <v>2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HYPERLINK("https://creighton-primo.hosted.exlibrisgroup.com/primo-explore/search?tab=default_tab&amp;search_scope=EVERYTHING&amp;vid=01CRU&amp;lang=en_US&amp;offset=0&amp;query=any,contains,991005377589702656","Catalog Record")</f>
        <v/>
      </c>
      <c r="AT287">
        <f>HYPERLINK("http://www.worldcat.org/oclc/477404131","WorldCat Record")</f>
        <v/>
      </c>
      <c r="AU287" t="inlineStr">
        <is>
          <t>136788383:eng</t>
        </is>
      </c>
      <c r="AV287" t="inlineStr">
        <is>
          <t>477404131</t>
        </is>
      </c>
      <c r="AW287" t="inlineStr">
        <is>
          <t>991005377589702656</t>
        </is>
      </c>
      <c r="AX287" t="inlineStr">
        <is>
          <t>991005377589702656</t>
        </is>
      </c>
      <c r="AY287" t="inlineStr">
        <is>
          <t>2261883270002656</t>
        </is>
      </c>
      <c r="AZ287" t="inlineStr">
        <is>
          <t>BOOK</t>
        </is>
      </c>
      <c r="BB287" t="inlineStr">
        <is>
          <t>9781602397682</t>
        </is>
      </c>
      <c r="BC287" t="inlineStr">
        <is>
          <t>32285005563092</t>
        </is>
      </c>
      <c r="BD287" t="inlineStr">
        <is>
          <t>893877434</t>
        </is>
      </c>
    </row>
    <row r="288">
      <c r="A288" t="inlineStr">
        <is>
          <t>No</t>
        </is>
      </c>
      <c r="B288" t="inlineStr">
        <is>
          <t>HV4506.M6 M33 1996</t>
        </is>
      </c>
      <c r="C288" t="inlineStr">
        <is>
          <t>0                      HV 4506000M  6                  M  33          1996</t>
        </is>
      </c>
      <c r="D288" t="inlineStr">
        <is>
          <t>Without keys : my 15 weeks with the street people / by Pat McDonough ; art by R. Padre Johnson.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McDonough, Pat, 1943-</t>
        </is>
      </c>
      <c r="L288" t="inlineStr">
        <is>
          <t>Hopkins, MN : Terra Sancta Press, 1996.</t>
        </is>
      </c>
      <c r="M288" t="inlineStr">
        <is>
          <t>1996</t>
        </is>
      </c>
      <c r="N288" t="inlineStr">
        <is>
          <t>1st ed.</t>
        </is>
      </c>
      <c r="O288" t="inlineStr">
        <is>
          <t>eng</t>
        </is>
      </c>
      <c r="P288" t="inlineStr">
        <is>
          <t>mnu</t>
        </is>
      </c>
      <c r="R288" t="inlineStr">
        <is>
          <t xml:space="preserve">HV </t>
        </is>
      </c>
      <c r="S288" t="n">
        <v>4</v>
      </c>
      <c r="T288" t="n">
        <v>4</v>
      </c>
      <c r="U288" t="inlineStr">
        <is>
          <t>2003-11-17</t>
        </is>
      </c>
      <c r="V288" t="inlineStr">
        <is>
          <t>2003-11-17</t>
        </is>
      </c>
      <c r="W288" t="inlineStr">
        <is>
          <t>1998-01-05</t>
        </is>
      </c>
      <c r="X288" t="inlineStr">
        <is>
          <t>1998-01-05</t>
        </is>
      </c>
      <c r="Y288" t="n">
        <v>75</v>
      </c>
      <c r="Z288" t="n">
        <v>74</v>
      </c>
      <c r="AA288" t="n">
        <v>74</v>
      </c>
      <c r="AB288" t="n">
        <v>2</v>
      </c>
      <c r="AC288" t="n">
        <v>2</v>
      </c>
      <c r="AD288" t="n">
        <v>4</v>
      </c>
      <c r="AE288" t="n">
        <v>4</v>
      </c>
      <c r="AF288" t="n">
        <v>2</v>
      </c>
      <c r="AG288" t="n">
        <v>2</v>
      </c>
      <c r="AH288" t="n">
        <v>1</v>
      </c>
      <c r="AI288" t="n">
        <v>1</v>
      </c>
      <c r="AJ288" t="n">
        <v>0</v>
      </c>
      <c r="AK288" t="n">
        <v>0</v>
      </c>
      <c r="AL288" t="n">
        <v>1</v>
      </c>
      <c r="AM288" t="n">
        <v>1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HYPERLINK("https://creighton-primo.hosted.exlibrisgroup.com/primo-explore/search?tab=default_tab&amp;search_scope=EVERYTHING&amp;vid=01CRU&amp;lang=en_US&amp;offset=0&amp;query=any,contains,991002728859702656","Catalog Record")</f>
        <v/>
      </c>
      <c r="AT288">
        <f>HYPERLINK("http://www.worldcat.org/oclc/35789222","WorldCat Record")</f>
        <v/>
      </c>
      <c r="AU288" t="inlineStr">
        <is>
          <t>292705902:eng</t>
        </is>
      </c>
      <c r="AV288" t="inlineStr">
        <is>
          <t>35789222</t>
        </is>
      </c>
      <c r="AW288" t="inlineStr">
        <is>
          <t>991002728859702656</t>
        </is>
      </c>
      <c r="AX288" t="inlineStr">
        <is>
          <t>991002728859702656</t>
        </is>
      </c>
      <c r="AY288" t="inlineStr">
        <is>
          <t>2265432300002656</t>
        </is>
      </c>
      <c r="AZ288" t="inlineStr">
        <is>
          <t>BOOK</t>
        </is>
      </c>
      <c r="BB288" t="inlineStr">
        <is>
          <t>9780965346702</t>
        </is>
      </c>
      <c r="BC288" t="inlineStr">
        <is>
          <t>32285003267621</t>
        </is>
      </c>
      <c r="BD288" t="inlineStr">
        <is>
          <t>893721598</t>
        </is>
      </c>
    </row>
    <row r="289">
      <c r="A289" t="inlineStr">
        <is>
          <t>No</t>
        </is>
      </c>
      <c r="B289" t="inlineStr">
        <is>
          <t>HV4506.N6 M67 1995</t>
        </is>
      </c>
      <c r="C289" t="inlineStr">
        <is>
          <t>0                      HV 4506000N  6                  M  67          1995</t>
        </is>
      </c>
      <c r="D289" t="inlineStr">
        <is>
          <t>The tunnel : the underground homeless of New York City / Margaret Morton.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Morton, Margaret.</t>
        </is>
      </c>
      <c r="L289" t="inlineStr">
        <is>
          <t>New Haven : Yale University Press, c1995.</t>
        </is>
      </c>
      <c r="M289" t="inlineStr">
        <is>
          <t>1995</t>
        </is>
      </c>
      <c r="O289" t="inlineStr">
        <is>
          <t>eng</t>
        </is>
      </c>
      <c r="P289" t="inlineStr">
        <is>
          <t>ctu</t>
        </is>
      </c>
      <c r="Q289" t="inlineStr">
        <is>
          <t>The architecture of despair</t>
        </is>
      </c>
      <c r="R289" t="inlineStr">
        <is>
          <t xml:space="preserve">HV </t>
        </is>
      </c>
      <c r="S289" t="n">
        <v>4</v>
      </c>
      <c r="T289" t="n">
        <v>4</v>
      </c>
      <c r="U289" t="inlineStr">
        <is>
          <t>2005-12-29</t>
        </is>
      </c>
      <c r="V289" t="inlineStr">
        <is>
          <t>2005-12-29</t>
        </is>
      </c>
      <c r="W289" t="inlineStr">
        <is>
          <t>1996-06-25</t>
        </is>
      </c>
      <c r="X289" t="inlineStr">
        <is>
          <t>1996-06-25</t>
        </is>
      </c>
      <c r="Y289" t="n">
        <v>538</v>
      </c>
      <c r="Z289" t="n">
        <v>481</v>
      </c>
      <c r="AA289" t="n">
        <v>482</v>
      </c>
      <c r="AB289" t="n">
        <v>2</v>
      </c>
      <c r="AC289" t="n">
        <v>2</v>
      </c>
      <c r="AD289" t="n">
        <v>15</v>
      </c>
      <c r="AE289" t="n">
        <v>15</v>
      </c>
      <c r="AF289" t="n">
        <v>4</v>
      </c>
      <c r="AG289" t="n">
        <v>4</v>
      </c>
      <c r="AH289" t="n">
        <v>4</v>
      </c>
      <c r="AI289" t="n">
        <v>4</v>
      </c>
      <c r="AJ289" t="n">
        <v>11</v>
      </c>
      <c r="AK289" t="n">
        <v>11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HYPERLINK("https://creighton-primo.hosted.exlibrisgroup.com/primo-explore/search?tab=default_tab&amp;search_scope=EVERYTHING&amp;vid=01CRU&amp;lang=en_US&amp;offset=0&amp;query=any,contains,991002508329702656","Catalog Record")</f>
        <v/>
      </c>
      <c r="AT289">
        <f>HYPERLINK("http://www.worldcat.org/oclc/32625272","WorldCat Record")</f>
        <v/>
      </c>
      <c r="AU289" t="inlineStr">
        <is>
          <t>836938502:eng</t>
        </is>
      </c>
      <c r="AV289" t="inlineStr">
        <is>
          <t>32625272</t>
        </is>
      </c>
      <c r="AW289" t="inlineStr">
        <is>
          <t>991002508329702656</t>
        </is>
      </c>
      <c r="AX289" t="inlineStr">
        <is>
          <t>991002508329702656</t>
        </is>
      </c>
      <c r="AY289" t="inlineStr">
        <is>
          <t>2269078210002656</t>
        </is>
      </c>
      <c r="AZ289" t="inlineStr">
        <is>
          <t>BOOK</t>
        </is>
      </c>
      <c r="BB289" t="inlineStr">
        <is>
          <t>9780300065381</t>
        </is>
      </c>
      <c r="BC289" t="inlineStr">
        <is>
          <t>32285002173374</t>
        </is>
      </c>
      <c r="BD289" t="inlineStr">
        <is>
          <t>893716543</t>
        </is>
      </c>
    </row>
    <row r="290">
      <c r="A290" t="inlineStr">
        <is>
          <t>No</t>
        </is>
      </c>
      <c r="B290" t="inlineStr">
        <is>
          <t>HV4705 .T47 1991</t>
        </is>
      </c>
      <c r="C290" t="inlineStr">
        <is>
          <t>0                      HV 4705000T  47          1991</t>
        </is>
      </c>
      <c r="D290" t="inlineStr">
        <is>
          <t>Animals and society : the humanity of animal rights / Keith Tester.</t>
        </is>
      </c>
      <c r="F290" t="inlineStr">
        <is>
          <t>No</t>
        </is>
      </c>
      <c r="G290" t="inlineStr">
        <is>
          <t>1</t>
        </is>
      </c>
      <c r="H290" t="inlineStr">
        <is>
          <t>Yes</t>
        </is>
      </c>
      <c r="I290" t="inlineStr">
        <is>
          <t>No</t>
        </is>
      </c>
      <c r="J290" t="inlineStr">
        <is>
          <t>0</t>
        </is>
      </c>
      <c r="K290" t="inlineStr">
        <is>
          <t>Tester, Keith, 1960-</t>
        </is>
      </c>
      <c r="L290" t="inlineStr">
        <is>
          <t>London ; New York, NY : Routledge, 1991.</t>
        </is>
      </c>
      <c r="M290" t="inlineStr">
        <is>
          <t>1991</t>
        </is>
      </c>
      <c r="O290" t="inlineStr">
        <is>
          <t>eng</t>
        </is>
      </c>
      <c r="P290" t="inlineStr">
        <is>
          <t>enk</t>
        </is>
      </c>
      <c r="R290" t="inlineStr">
        <is>
          <t xml:space="preserve">HV </t>
        </is>
      </c>
      <c r="S290" t="n">
        <v>26</v>
      </c>
      <c r="T290" t="n">
        <v>27</v>
      </c>
      <c r="U290" t="inlineStr">
        <is>
          <t>2005-12-06</t>
        </is>
      </c>
      <c r="V290" t="inlineStr">
        <is>
          <t>2005-12-06</t>
        </is>
      </c>
      <c r="W290" t="inlineStr">
        <is>
          <t>1992-04-23</t>
        </is>
      </c>
      <c r="X290" t="inlineStr">
        <is>
          <t>1994-01-04</t>
        </is>
      </c>
      <c r="Y290" t="n">
        <v>624</v>
      </c>
      <c r="Z290" t="n">
        <v>434</v>
      </c>
      <c r="AA290" t="n">
        <v>448</v>
      </c>
      <c r="AB290" t="n">
        <v>3</v>
      </c>
      <c r="AC290" t="n">
        <v>3</v>
      </c>
      <c r="AD290" t="n">
        <v>29</v>
      </c>
      <c r="AE290" t="n">
        <v>29</v>
      </c>
      <c r="AF290" t="n">
        <v>6</v>
      </c>
      <c r="AG290" t="n">
        <v>6</v>
      </c>
      <c r="AH290" t="n">
        <v>7</v>
      </c>
      <c r="AI290" t="n">
        <v>7</v>
      </c>
      <c r="AJ290" t="n">
        <v>14</v>
      </c>
      <c r="AK290" t="n">
        <v>14</v>
      </c>
      <c r="AL290" t="n">
        <v>1</v>
      </c>
      <c r="AM290" t="n">
        <v>1</v>
      </c>
      <c r="AN290" t="n">
        <v>8</v>
      </c>
      <c r="AO290" t="n">
        <v>8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HYPERLINK("https://creighton-primo.hosted.exlibrisgroup.com/primo-explore/search?tab=default_tab&amp;search_scope=EVERYTHING&amp;vid=01CRU&amp;lang=en_US&amp;offset=0&amp;query=any,contains,991001645929702656","Catalog Record")</f>
        <v/>
      </c>
      <c r="AT290">
        <f>HYPERLINK("http://www.worldcat.org/oclc/21870296","WorldCat Record")</f>
        <v/>
      </c>
      <c r="AU290" t="inlineStr">
        <is>
          <t>836709796:eng</t>
        </is>
      </c>
      <c r="AV290" t="inlineStr">
        <is>
          <t>21870296</t>
        </is>
      </c>
      <c r="AW290" t="inlineStr">
        <is>
          <t>991001645929702656</t>
        </is>
      </c>
      <c r="AX290" t="inlineStr">
        <is>
          <t>991001645929702656</t>
        </is>
      </c>
      <c r="AY290" t="inlineStr">
        <is>
          <t>2272078430002656</t>
        </is>
      </c>
      <c r="AZ290" t="inlineStr">
        <is>
          <t>BOOK</t>
        </is>
      </c>
      <c r="BB290" t="inlineStr">
        <is>
          <t>9780415047319</t>
        </is>
      </c>
      <c r="BC290" t="inlineStr">
        <is>
          <t>32285001037117</t>
        </is>
      </c>
      <c r="BD290" t="inlineStr">
        <is>
          <t>893509777</t>
        </is>
      </c>
    </row>
    <row r="291">
      <c r="A291" t="inlineStr">
        <is>
          <t>No</t>
        </is>
      </c>
      <c r="B291" t="inlineStr">
        <is>
          <t>HV473 .M464 2006</t>
        </is>
      </c>
      <c r="C291" t="inlineStr">
        <is>
          <t>0                      HV 0473000M  464         2006</t>
        </is>
      </c>
      <c r="D291" t="inlineStr">
        <is>
          <t>Inside the welfare lobby : a history of the Australian Council of Social Service : the role of interest groups in Australian social policy / Philip Mendes.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Mendes, Philip, 1964-</t>
        </is>
      </c>
      <c r="L291" t="inlineStr">
        <is>
          <t>Brighton ; Portland, Or. : Sussex Academic Press, c2006.</t>
        </is>
      </c>
      <c r="M291" t="inlineStr">
        <is>
          <t>2006</t>
        </is>
      </c>
      <c r="O291" t="inlineStr">
        <is>
          <t>eng</t>
        </is>
      </c>
      <c r="P291" t="inlineStr">
        <is>
          <t>enk</t>
        </is>
      </c>
      <c r="R291" t="inlineStr">
        <is>
          <t xml:space="preserve">HV </t>
        </is>
      </c>
      <c r="S291" t="n">
        <v>1</v>
      </c>
      <c r="T291" t="n">
        <v>1</v>
      </c>
      <c r="U291" t="inlineStr">
        <is>
          <t>2009-02-05</t>
        </is>
      </c>
      <c r="V291" t="inlineStr">
        <is>
          <t>2009-02-05</t>
        </is>
      </c>
      <c r="W291" t="inlineStr">
        <is>
          <t>2009-02-05</t>
        </is>
      </c>
      <c r="X291" t="inlineStr">
        <is>
          <t>2009-02-05</t>
        </is>
      </c>
      <c r="Y291" t="n">
        <v>96</v>
      </c>
      <c r="Z291" t="n">
        <v>33</v>
      </c>
      <c r="AA291" t="n">
        <v>35</v>
      </c>
      <c r="AB291" t="n">
        <v>1</v>
      </c>
      <c r="AC291" t="n">
        <v>1</v>
      </c>
      <c r="AD291" t="n">
        <v>2</v>
      </c>
      <c r="AE291" t="n">
        <v>2</v>
      </c>
      <c r="AF291" t="n">
        <v>0</v>
      </c>
      <c r="AG291" t="n">
        <v>0</v>
      </c>
      <c r="AH291" t="n">
        <v>1</v>
      </c>
      <c r="AI291" t="n">
        <v>1</v>
      </c>
      <c r="AJ291" t="n">
        <v>2</v>
      </c>
      <c r="AK291" t="n">
        <v>2</v>
      </c>
      <c r="AL291" t="n">
        <v>0</v>
      </c>
      <c r="AM291" t="n">
        <v>0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HYPERLINK("http://catalog.hathitrust.org/Record/005597631","HathiTrust Record")</f>
        <v/>
      </c>
      <c r="AS291">
        <f>HYPERLINK("https://creighton-primo.hosted.exlibrisgroup.com/primo-explore/search?tab=default_tab&amp;search_scope=EVERYTHING&amp;vid=01CRU&amp;lang=en_US&amp;offset=0&amp;query=any,contains,991005292779702656","Catalog Record")</f>
        <v/>
      </c>
      <c r="AT291">
        <f>HYPERLINK("http://www.worldcat.org/oclc/68192426","WorldCat Record")</f>
        <v/>
      </c>
      <c r="AU291" t="inlineStr">
        <is>
          <t>51568876:eng</t>
        </is>
      </c>
      <c r="AV291" t="inlineStr">
        <is>
          <t>68192426</t>
        </is>
      </c>
      <c r="AW291" t="inlineStr">
        <is>
          <t>991005292779702656</t>
        </is>
      </c>
      <c r="AX291" t="inlineStr">
        <is>
          <t>991005292779702656</t>
        </is>
      </c>
      <c r="AY291" t="inlineStr">
        <is>
          <t>2271566940002656</t>
        </is>
      </c>
      <c r="AZ291" t="inlineStr">
        <is>
          <t>BOOK</t>
        </is>
      </c>
      <c r="BB291" t="inlineStr">
        <is>
          <t>9781845191191</t>
        </is>
      </c>
      <c r="BC291" t="inlineStr">
        <is>
          <t>32285005502876</t>
        </is>
      </c>
      <c r="BD291" t="inlineStr">
        <is>
          <t>893795938</t>
        </is>
      </c>
    </row>
    <row r="292">
      <c r="A292" t="inlineStr">
        <is>
          <t>No</t>
        </is>
      </c>
      <c r="B292" t="inlineStr">
        <is>
          <t>HV499.2 .T66 1993</t>
        </is>
      </c>
      <c r="C292" t="inlineStr">
        <is>
          <t>0                      HV 0499200T  66          1993</t>
        </is>
      </c>
      <c r="D292" t="inlineStr">
        <is>
          <t>Substance abuse prevention activities / Patricia Rizzo Toner.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Toner, Patricia Rizzo, 1952-</t>
        </is>
      </c>
      <c r="L292" t="inlineStr">
        <is>
          <t>West Nyack, N.Y. : Center for Applied Research in Education, c1993.</t>
        </is>
      </c>
      <c r="M292" t="inlineStr">
        <is>
          <t>1993</t>
        </is>
      </c>
      <c r="O292" t="inlineStr">
        <is>
          <t>eng</t>
        </is>
      </c>
      <c r="P292" t="inlineStr">
        <is>
          <t>nyu</t>
        </is>
      </c>
      <c r="Q292" t="inlineStr">
        <is>
          <t>Just for the health of it! ; unit 6</t>
        </is>
      </c>
      <c r="R292" t="inlineStr">
        <is>
          <t xml:space="preserve">HV </t>
        </is>
      </c>
      <c r="S292" t="n">
        <v>3</v>
      </c>
      <c r="T292" t="n">
        <v>3</v>
      </c>
      <c r="U292" t="inlineStr">
        <is>
          <t>2008-11-03</t>
        </is>
      </c>
      <c r="V292" t="inlineStr">
        <is>
          <t>2008-11-03</t>
        </is>
      </c>
      <c r="W292" t="inlineStr">
        <is>
          <t>1994-05-09</t>
        </is>
      </c>
      <c r="X292" t="inlineStr">
        <is>
          <t>1994-05-09</t>
        </is>
      </c>
      <c r="Y292" t="n">
        <v>131</v>
      </c>
      <c r="Z292" t="n">
        <v>115</v>
      </c>
      <c r="AA292" t="n">
        <v>116</v>
      </c>
      <c r="AB292" t="n">
        <v>1</v>
      </c>
      <c r="AC292" t="n">
        <v>1</v>
      </c>
      <c r="AD292" t="n">
        <v>3</v>
      </c>
      <c r="AE292" t="n">
        <v>3</v>
      </c>
      <c r="AF292" t="n">
        <v>2</v>
      </c>
      <c r="AG292" t="n">
        <v>2</v>
      </c>
      <c r="AH292" t="n">
        <v>1</v>
      </c>
      <c r="AI292" t="n">
        <v>1</v>
      </c>
      <c r="AJ292" t="n">
        <v>1</v>
      </c>
      <c r="AK292" t="n">
        <v>1</v>
      </c>
      <c r="AL292" t="n">
        <v>0</v>
      </c>
      <c r="AM292" t="n">
        <v>0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HYPERLINK("https://creighton-primo.hosted.exlibrisgroup.com/primo-explore/search?tab=default_tab&amp;search_scope=EVERYTHING&amp;vid=01CRU&amp;lang=en_US&amp;offset=0&amp;query=any,contains,991002155209702656","Catalog Record")</f>
        <v/>
      </c>
      <c r="AT292">
        <f>HYPERLINK("http://www.worldcat.org/oclc/27769906","WorldCat Record")</f>
        <v/>
      </c>
      <c r="AU292" t="inlineStr">
        <is>
          <t>376316:eng</t>
        </is>
      </c>
      <c r="AV292" t="inlineStr">
        <is>
          <t>27769906</t>
        </is>
      </c>
      <c r="AW292" t="inlineStr">
        <is>
          <t>991002155209702656</t>
        </is>
      </c>
      <c r="AX292" t="inlineStr">
        <is>
          <t>991002155209702656</t>
        </is>
      </c>
      <c r="AY292" t="inlineStr">
        <is>
          <t>2265369350002656</t>
        </is>
      </c>
      <c r="AZ292" t="inlineStr">
        <is>
          <t>BOOK</t>
        </is>
      </c>
      <c r="BB292" t="inlineStr">
        <is>
          <t>9780876288795</t>
        </is>
      </c>
      <c r="BC292" t="inlineStr">
        <is>
          <t>32285001879930</t>
        </is>
      </c>
      <c r="BD292" t="inlineStr">
        <is>
          <t>893256940</t>
        </is>
      </c>
    </row>
    <row r="293">
      <c r="A293" t="inlineStr">
        <is>
          <t>No</t>
        </is>
      </c>
      <c r="B293" t="inlineStr">
        <is>
          <t>HV4999.2 .S8 1998</t>
        </is>
      </c>
      <c r="C293" t="inlineStr">
        <is>
          <t>0                      HV 4999200S  8           1998</t>
        </is>
      </c>
      <c r="D293" t="inlineStr">
        <is>
          <t>Substance abuse prevention in multicultural communities / Jeanette Valentine, Judith A. De Jong, Nancy J. Kennedy, editors.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New York : Haworth Press, c1998.</t>
        </is>
      </c>
      <c r="M293" t="inlineStr">
        <is>
          <t>1998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HV </t>
        </is>
      </c>
      <c r="S293" t="n">
        <v>9</v>
      </c>
      <c r="T293" t="n">
        <v>9</v>
      </c>
      <c r="U293" t="inlineStr">
        <is>
          <t>2007-03-26</t>
        </is>
      </c>
      <c r="V293" t="inlineStr">
        <is>
          <t>2007-03-26</t>
        </is>
      </c>
      <c r="W293" t="inlineStr">
        <is>
          <t>1998-09-17</t>
        </is>
      </c>
      <c r="X293" t="inlineStr">
        <is>
          <t>1998-09-17</t>
        </is>
      </c>
      <c r="Y293" t="n">
        <v>205</v>
      </c>
      <c r="Z293" t="n">
        <v>173</v>
      </c>
      <c r="AA293" t="n">
        <v>209</v>
      </c>
      <c r="AB293" t="n">
        <v>1</v>
      </c>
      <c r="AC293" t="n">
        <v>1</v>
      </c>
      <c r="AD293" t="n">
        <v>6</v>
      </c>
      <c r="AE293" t="n">
        <v>6</v>
      </c>
      <c r="AF293" t="n">
        <v>1</v>
      </c>
      <c r="AG293" t="n">
        <v>1</v>
      </c>
      <c r="AH293" t="n">
        <v>0</v>
      </c>
      <c r="AI293" t="n">
        <v>0</v>
      </c>
      <c r="AJ293" t="n">
        <v>5</v>
      </c>
      <c r="AK293" t="n">
        <v>5</v>
      </c>
      <c r="AL293" t="n">
        <v>0</v>
      </c>
      <c r="AM293" t="n">
        <v>0</v>
      </c>
      <c r="AN293" t="n">
        <v>1</v>
      </c>
      <c r="AO293" t="n">
        <v>1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HYPERLINK("https://creighton-primo.hosted.exlibrisgroup.com/primo-explore/search?tab=default_tab&amp;search_scope=EVERYTHING&amp;vid=01CRU&amp;lang=en_US&amp;offset=0&amp;query=any,contains,991002843889702656","Catalog Record")</f>
        <v/>
      </c>
      <c r="AT293">
        <f>HYPERLINK("http://www.worldcat.org/oclc/37464364","WorldCat Record")</f>
        <v/>
      </c>
      <c r="AU293" t="inlineStr">
        <is>
          <t>477334165:eng</t>
        </is>
      </c>
      <c r="AV293" t="inlineStr">
        <is>
          <t>37464364</t>
        </is>
      </c>
      <c r="AW293" t="inlineStr">
        <is>
          <t>991002843889702656</t>
        </is>
      </c>
      <c r="AX293" t="inlineStr">
        <is>
          <t>991002843889702656</t>
        </is>
      </c>
      <c r="AY293" t="inlineStr">
        <is>
          <t>2258911040002656</t>
        </is>
      </c>
      <c r="AZ293" t="inlineStr">
        <is>
          <t>BOOK</t>
        </is>
      </c>
      <c r="BB293" t="inlineStr">
        <is>
          <t>9780789003430</t>
        </is>
      </c>
      <c r="BC293" t="inlineStr">
        <is>
          <t>32285003469268</t>
        </is>
      </c>
      <c r="BD293" t="inlineStr">
        <is>
          <t>893347993</t>
        </is>
      </c>
    </row>
    <row r="294">
      <c r="A294" t="inlineStr">
        <is>
          <t>No</t>
        </is>
      </c>
      <c r="B294" t="inlineStr">
        <is>
          <t>HV4999.2 .S82 2003</t>
        </is>
      </c>
      <c r="C294" t="inlineStr">
        <is>
          <t>0                      HV 4999200S  82          2003</t>
        </is>
      </c>
      <c r="D294" t="inlineStr">
        <is>
          <t>Substance abuse prevention : the intersection of science and practice / Julie A. Hogan ... [et al.].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Boston : Allyn and Bacon, c2003.</t>
        </is>
      </c>
      <c r="M294" t="inlineStr">
        <is>
          <t>2003</t>
        </is>
      </c>
      <c r="O294" t="inlineStr">
        <is>
          <t>eng</t>
        </is>
      </c>
      <c r="P294" t="inlineStr">
        <is>
          <t>mau</t>
        </is>
      </c>
      <c r="R294" t="inlineStr">
        <is>
          <t xml:space="preserve">HV </t>
        </is>
      </c>
      <c r="S294" t="n">
        <v>6</v>
      </c>
      <c r="T294" t="n">
        <v>6</v>
      </c>
      <c r="U294" t="inlineStr">
        <is>
          <t>2010-12-01</t>
        </is>
      </c>
      <c r="V294" t="inlineStr">
        <is>
          <t>2010-12-01</t>
        </is>
      </c>
      <c r="W294" t="inlineStr">
        <is>
          <t>2004-02-23</t>
        </is>
      </c>
      <c r="X294" t="inlineStr">
        <is>
          <t>2004-02-23</t>
        </is>
      </c>
      <c r="Y294" t="n">
        <v>204</v>
      </c>
      <c r="Z294" t="n">
        <v>170</v>
      </c>
      <c r="AA294" t="n">
        <v>176</v>
      </c>
      <c r="AB294" t="n">
        <v>3</v>
      </c>
      <c r="AC294" t="n">
        <v>3</v>
      </c>
      <c r="AD294" t="n">
        <v>7</v>
      </c>
      <c r="AE294" t="n">
        <v>7</v>
      </c>
      <c r="AF294" t="n">
        <v>1</v>
      </c>
      <c r="AG294" t="n">
        <v>1</v>
      </c>
      <c r="AH294" t="n">
        <v>2</v>
      </c>
      <c r="AI294" t="n">
        <v>2</v>
      </c>
      <c r="AJ294" t="n">
        <v>4</v>
      </c>
      <c r="AK294" t="n">
        <v>4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HYPERLINK("http://catalog.hathitrust.org/Record/004314480","HathiTrust Record")</f>
        <v/>
      </c>
      <c r="AS294">
        <f>HYPERLINK("https://creighton-primo.hosted.exlibrisgroup.com/primo-explore/search?tab=default_tab&amp;search_scope=EVERYTHING&amp;vid=01CRU&amp;lang=en_US&amp;offset=0&amp;query=any,contains,991004232639702656","Catalog Record")</f>
        <v/>
      </c>
      <c r="AT294">
        <f>HYPERLINK("http://www.worldcat.org/oclc/49902092","WorldCat Record")</f>
        <v/>
      </c>
      <c r="AU294" t="inlineStr">
        <is>
          <t>793568537:eng</t>
        </is>
      </c>
      <c r="AV294" t="inlineStr">
        <is>
          <t>49902092</t>
        </is>
      </c>
      <c r="AW294" t="inlineStr">
        <is>
          <t>991004232639702656</t>
        </is>
      </c>
      <c r="AX294" t="inlineStr">
        <is>
          <t>991004232639702656</t>
        </is>
      </c>
      <c r="AY294" t="inlineStr">
        <is>
          <t>2257522690002656</t>
        </is>
      </c>
      <c r="AZ294" t="inlineStr">
        <is>
          <t>BOOK</t>
        </is>
      </c>
      <c r="BB294" t="inlineStr">
        <is>
          <t>9780205341627</t>
        </is>
      </c>
      <c r="BC294" t="inlineStr">
        <is>
          <t>32285004639679</t>
        </is>
      </c>
      <c r="BD294" t="inlineStr">
        <is>
          <t>893411270</t>
        </is>
      </c>
    </row>
    <row r="295">
      <c r="A295" t="inlineStr">
        <is>
          <t>No</t>
        </is>
      </c>
      <c r="B295" t="inlineStr">
        <is>
          <t>HV4999.2 .S9 2001</t>
        </is>
      </c>
      <c r="C295" t="inlineStr">
        <is>
          <t>0                      HV 4999200S  9           2001</t>
        </is>
      </c>
      <c r="D295" t="inlineStr">
        <is>
          <t>Substance abuse : the nation's number one health problem : key indicators for policy update / prepared by the Schneider Institute for Health Policy, Brandeis University ; for the Robert Wood Johnson Foundation ; [principal investigator, Constance Horgan].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Princeton, NJ : The Foundation, [2001]</t>
        </is>
      </c>
      <c r="M295" t="inlineStr">
        <is>
          <t>2001</t>
        </is>
      </c>
      <c r="O295" t="inlineStr">
        <is>
          <t>eng</t>
        </is>
      </c>
      <c r="P295" t="inlineStr">
        <is>
          <t>nju</t>
        </is>
      </c>
      <c r="R295" t="inlineStr">
        <is>
          <t xml:space="preserve">HV </t>
        </is>
      </c>
      <c r="S295" t="n">
        <v>8</v>
      </c>
      <c r="T295" t="n">
        <v>8</v>
      </c>
      <c r="U295" t="inlineStr">
        <is>
          <t>2007-03-26</t>
        </is>
      </c>
      <c r="V295" t="inlineStr">
        <is>
          <t>2007-03-26</t>
        </is>
      </c>
      <c r="W295" t="inlineStr">
        <is>
          <t>2001-06-06</t>
        </is>
      </c>
      <c r="X295" t="inlineStr">
        <is>
          <t>2001-06-06</t>
        </is>
      </c>
      <c r="Y295" t="n">
        <v>1658</v>
      </c>
      <c r="Z295" t="n">
        <v>1656</v>
      </c>
      <c r="AA295" t="n">
        <v>2143</v>
      </c>
      <c r="AB295" t="n">
        <v>26</v>
      </c>
      <c r="AC295" t="n">
        <v>29</v>
      </c>
      <c r="AD295" t="n">
        <v>41</v>
      </c>
      <c r="AE295" t="n">
        <v>53</v>
      </c>
      <c r="AF295" t="n">
        <v>13</v>
      </c>
      <c r="AG295" t="n">
        <v>15</v>
      </c>
      <c r="AH295" t="n">
        <v>4</v>
      </c>
      <c r="AI295" t="n">
        <v>6</v>
      </c>
      <c r="AJ295" t="n">
        <v>18</v>
      </c>
      <c r="AK295" t="n">
        <v>21</v>
      </c>
      <c r="AL295" t="n">
        <v>12</v>
      </c>
      <c r="AM295" t="n">
        <v>13</v>
      </c>
      <c r="AN295" t="n">
        <v>0</v>
      </c>
      <c r="AO295" t="n">
        <v>6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HYPERLINK("http://catalog.hathitrust.org/Record/003590207","HathiTrust Record")</f>
        <v/>
      </c>
      <c r="AS295">
        <f>HYPERLINK("https://creighton-primo.hosted.exlibrisgroup.com/primo-explore/search?tab=default_tab&amp;search_scope=EVERYTHING&amp;vid=01CRU&amp;lang=en_US&amp;offset=0&amp;query=any,contains,991003531459702656","Catalog Record")</f>
        <v/>
      </c>
      <c r="AT295">
        <f>HYPERLINK("http://www.worldcat.org/oclc/46764144","WorldCat Record")</f>
        <v/>
      </c>
      <c r="AU295" t="inlineStr">
        <is>
          <t>1151510960:eng</t>
        </is>
      </c>
      <c r="AV295" t="inlineStr">
        <is>
          <t>46764144</t>
        </is>
      </c>
      <c r="AW295" t="inlineStr">
        <is>
          <t>991003531459702656</t>
        </is>
      </c>
      <c r="AX295" t="inlineStr">
        <is>
          <t>991003531459702656</t>
        </is>
      </c>
      <c r="AY295" t="inlineStr">
        <is>
          <t>2267364050002656</t>
        </is>
      </c>
      <c r="AZ295" t="inlineStr">
        <is>
          <t>BOOK</t>
        </is>
      </c>
      <c r="BB295" t="inlineStr">
        <is>
          <t>9780942054132</t>
        </is>
      </c>
      <c r="BC295" t="inlineStr">
        <is>
          <t>32285004325733</t>
        </is>
      </c>
      <c r="BD295" t="inlineStr">
        <is>
          <t>893617437</t>
        </is>
      </c>
    </row>
    <row r="296">
      <c r="A296" t="inlineStr">
        <is>
          <t>No</t>
        </is>
      </c>
      <c r="B296" t="inlineStr">
        <is>
          <t>HV4999.Y68 A43 1985</t>
        </is>
      </c>
      <c r="C296" t="inlineStr">
        <is>
          <t>0                      HV 4999000Y  68                 A  43          1985</t>
        </is>
      </c>
      <c r="D296" t="inlineStr">
        <is>
          <t>Alcohol and substance abuse in adolescence / Judith S. Brook, Dan J. Lettieri, David W. Brook, guest editors ; Barry Stimmel, editor.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New York : Haworth Press, c1985.</t>
        </is>
      </c>
      <c r="M296" t="inlineStr">
        <is>
          <t>1985</t>
        </is>
      </c>
      <c r="O296" t="inlineStr">
        <is>
          <t>eng</t>
        </is>
      </c>
      <c r="P296" t="inlineStr">
        <is>
          <t>nyu</t>
        </is>
      </c>
      <c r="R296" t="inlineStr">
        <is>
          <t xml:space="preserve">HV </t>
        </is>
      </c>
      <c r="S296" t="n">
        <v>43</v>
      </c>
      <c r="T296" t="n">
        <v>43</v>
      </c>
      <c r="U296" t="inlineStr">
        <is>
          <t>2007-03-26</t>
        </is>
      </c>
      <c r="V296" t="inlineStr">
        <is>
          <t>2007-03-26</t>
        </is>
      </c>
      <c r="W296" t="inlineStr">
        <is>
          <t>1990-03-13</t>
        </is>
      </c>
      <c r="X296" t="inlineStr">
        <is>
          <t>1990-03-13</t>
        </is>
      </c>
      <c r="Y296" t="n">
        <v>287</v>
      </c>
      <c r="Z296" t="n">
        <v>237</v>
      </c>
      <c r="AA296" t="n">
        <v>269</v>
      </c>
      <c r="AB296" t="n">
        <v>1</v>
      </c>
      <c r="AC296" t="n">
        <v>1</v>
      </c>
      <c r="AD296" t="n">
        <v>6</v>
      </c>
      <c r="AE296" t="n">
        <v>6</v>
      </c>
      <c r="AF296" t="n">
        <v>2</v>
      </c>
      <c r="AG296" t="n">
        <v>2</v>
      </c>
      <c r="AH296" t="n">
        <v>2</v>
      </c>
      <c r="AI296" t="n">
        <v>2</v>
      </c>
      <c r="AJ296" t="n">
        <v>3</v>
      </c>
      <c r="AK296" t="n">
        <v>3</v>
      </c>
      <c r="AL296" t="n">
        <v>0</v>
      </c>
      <c r="AM296" t="n">
        <v>0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HYPERLINK("http://catalog.hathitrust.org/Record/000823940","HathiTrust Record")</f>
        <v/>
      </c>
      <c r="AS296">
        <f>HYPERLINK("https://creighton-primo.hosted.exlibrisgroup.com/primo-explore/search?tab=default_tab&amp;search_scope=EVERYTHING&amp;vid=01CRU&amp;lang=en_US&amp;offset=0&amp;query=any,contains,991000562709702656","Catalog Record")</f>
        <v/>
      </c>
      <c r="AT296">
        <f>HYPERLINK("http://www.worldcat.org/oclc/11599455","WorldCat Record")</f>
        <v/>
      </c>
      <c r="AU296" t="inlineStr">
        <is>
          <t>429557806:eng</t>
        </is>
      </c>
      <c r="AV296" t="inlineStr">
        <is>
          <t>11599455</t>
        </is>
      </c>
      <c r="AW296" t="inlineStr">
        <is>
          <t>991000562709702656</t>
        </is>
      </c>
      <c r="AX296" t="inlineStr">
        <is>
          <t>991000562709702656</t>
        </is>
      </c>
      <c r="AY296" t="inlineStr">
        <is>
          <t>2261462440002656</t>
        </is>
      </c>
      <c r="AZ296" t="inlineStr">
        <is>
          <t>BOOK</t>
        </is>
      </c>
      <c r="BB296" t="inlineStr">
        <is>
          <t>9780866563338</t>
        </is>
      </c>
      <c r="BC296" t="inlineStr">
        <is>
          <t>32285000085273</t>
        </is>
      </c>
      <c r="BD296" t="inlineStr">
        <is>
          <t>893871783</t>
        </is>
      </c>
    </row>
    <row r="297">
      <c r="A297" t="inlineStr">
        <is>
          <t>No</t>
        </is>
      </c>
      <c r="B297" t="inlineStr">
        <is>
          <t>HV5020 .W35 2002</t>
        </is>
      </c>
      <c r="C297" t="inlineStr">
        <is>
          <t>0                      HV 5020000W  35          2002</t>
        </is>
      </c>
      <c r="D297" t="inlineStr">
        <is>
          <t>Out of it : a cultural history of intoxication / Stuart Walton.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Walton, Stuart.</t>
        </is>
      </c>
      <c r="L297" t="inlineStr">
        <is>
          <t>New York : Harmony Books, c2002.</t>
        </is>
      </c>
      <c r="M297" t="inlineStr">
        <is>
          <t>2002</t>
        </is>
      </c>
      <c r="N297" t="inlineStr">
        <is>
          <t>1st American ed.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HV </t>
        </is>
      </c>
      <c r="S297" t="n">
        <v>4</v>
      </c>
      <c r="T297" t="n">
        <v>4</v>
      </c>
      <c r="U297" t="inlineStr">
        <is>
          <t>2007-03-30</t>
        </is>
      </c>
      <c r="V297" t="inlineStr">
        <is>
          <t>2007-03-30</t>
        </is>
      </c>
      <c r="W297" t="inlineStr">
        <is>
          <t>2002-11-18</t>
        </is>
      </c>
      <c r="X297" t="inlineStr">
        <is>
          <t>2002-11-18</t>
        </is>
      </c>
      <c r="Y297" t="n">
        <v>687</v>
      </c>
      <c r="Z297" t="n">
        <v>650</v>
      </c>
      <c r="AA297" t="n">
        <v>751</v>
      </c>
      <c r="AB297" t="n">
        <v>3</v>
      </c>
      <c r="AC297" t="n">
        <v>5</v>
      </c>
      <c r="AD297" t="n">
        <v>14</v>
      </c>
      <c r="AE297" t="n">
        <v>17</v>
      </c>
      <c r="AF297" t="n">
        <v>8</v>
      </c>
      <c r="AG297" t="n">
        <v>9</v>
      </c>
      <c r="AH297" t="n">
        <v>2</v>
      </c>
      <c r="AI297" t="n">
        <v>2</v>
      </c>
      <c r="AJ297" t="n">
        <v>6</v>
      </c>
      <c r="AK297" t="n">
        <v>6</v>
      </c>
      <c r="AL297" t="n">
        <v>2</v>
      </c>
      <c r="AM297" t="n">
        <v>4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HYPERLINK("https://creighton-primo.hosted.exlibrisgroup.com/primo-explore/search?tab=default_tab&amp;search_scope=EVERYTHING&amp;vid=01CRU&amp;lang=en_US&amp;offset=0&amp;query=any,contains,991003933599702656","Catalog Record")</f>
        <v/>
      </c>
      <c r="AT297">
        <f>HYPERLINK("http://www.worldcat.org/oclc/50184840","WorldCat Record")</f>
        <v/>
      </c>
      <c r="AU297" t="inlineStr">
        <is>
          <t>753468:eng</t>
        </is>
      </c>
      <c r="AV297" t="inlineStr">
        <is>
          <t>50184840</t>
        </is>
      </c>
      <c r="AW297" t="inlineStr">
        <is>
          <t>991003933599702656</t>
        </is>
      </c>
      <c r="AX297" t="inlineStr">
        <is>
          <t>991003933599702656</t>
        </is>
      </c>
      <c r="AY297" t="inlineStr">
        <is>
          <t>2272174590002656</t>
        </is>
      </c>
      <c r="AZ297" t="inlineStr">
        <is>
          <t>BOOK</t>
        </is>
      </c>
      <c r="BB297" t="inlineStr">
        <is>
          <t>9780609610442</t>
        </is>
      </c>
      <c r="BC297" t="inlineStr">
        <is>
          <t>32285004663661</t>
        </is>
      </c>
      <c r="BD297" t="inlineStr">
        <is>
          <t>893429459</t>
        </is>
      </c>
    </row>
    <row r="298">
      <c r="A298" t="inlineStr">
        <is>
          <t>No</t>
        </is>
      </c>
      <c r="B298" t="inlineStr">
        <is>
          <t>HV5035 .C36 1975</t>
        </is>
      </c>
      <c r="C298" t="inlineStr">
        <is>
          <t>0                      HV 5035000C  36          1975</t>
        </is>
      </c>
      <c r="D298" t="inlineStr">
        <is>
          <t>Alcohol, use, nonuse, and abuse / Charles R. Carroll.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Carroll, Charles R.</t>
        </is>
      </c>
      <c r="L298" t="inlineStr">
        <is>
          <t>Dubuque, Iowa : W. C. Brown Co., c1975, 1982 printing.</t>
        </is>
      </c>
      <c r="M298" t="inlineStr">
        <is>
          <t>1975</t>
        </is>
      </c>
      <c r="N298" t="inlineStr">
        <is>
          <t>2d ed.</t>
        </is>
      </c>
      <c r="O298" t="inlineStr">
        <is>
          <t>eng</t>
        </is>
      </c>
      <c r="P298" t="inlineStr">
        <is>
          <t>iau</t>
        </is>
      </c>
      <c r="Q298" t="inlineStr">
        <is>
          <t>Contemporary topics in health science series</t>
        </is>
      </c>
      <c r="R298" t="inlineStr">
        <is>
          <t xml:space="preserve">HV </t>
        </is>
      </c>
      <c r="S298" t="n">
        <v>53</v>
      </c>
      <c r="T298" t="n">
        <v>53</v>
      </c>
      <c r="U298" t="inlineStr">
        <is>
          <t>2005-11-29</t>
        </is>
      </c>
      <c r="V298" t="inlineStr">
        <is>
          <t>2005-11-29</t>
        </is>
      </c>
      <c r="W298" t="inlineStr">
        <is>
          <t>1990-03-12</t>
        </is>
      </c>
      <c r="X298" t="inlineStr">
        <is>
          <t>1990-03-12</t>
        </is>
      </c>
      <c r="Y298" t="n">
        <v>174</v>
      </c>
      <c r="Z298" t="n">
        <v>145</v>
      </c>
      <c r="AA298" t="n">
        <v>306</v>
      </c>
      <c r="AB298" t="n">
        <v>2</v>
      </c>
      <c r="AC298" t="n">
        <v>3</v>
      </c>
      <c r="AD298" t="n">
        <v>7</v>
      </c>
      <c r="AE298" t="n">
        <v>9</v>
      </c>
      <c r="AF298" t="n">
        <v>5</v>
      </c>
      <c r="AG298" t="n">
        <v>6</v>
      </c>
      <c r="AH298" t="n">
        <v>0</v>
      </c>
      <c r="AI298" t="n">
        <v>0</v>
      </c>
      <c r="AJ298" t="n">
        <v>3</v>
      </c>
      <c r="AK298" t="n">
        <v>4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HYPERLINK("https://creighton-primo.hosted.exlibrisgroup.com/primo-explore/search?tab=default_tab&amp;search_scope=EVERYTHING&amp;vid=01CRU&amp;lang=en_US&amp;offset=0&amp;query=any,contains,991003693339702656","Catalog Record")</f>
        <v/>
      </c>
      <c r="AT298">
        <f>HYPERLINK("http://www.worldcat.org/oclc/1323905","WorldCat Record")</f>
        <v/>
      </c>
      <c r="AU298" t="inlineStr">
        <is>
          <t>1230281:eng</t>
        </is>
      </c>
      <c r="AV298" t="inlineStr">
        <is>
          <t>1323905</t>
        </is>
      </c>
      <c r="AW298" t="inlineStr">
        <is>
          <t>991003693339702656</t>
        </is>
      </c>
      <c r="AX298" t="inlineStr">
        <is>
          <t>991003693339702656</t>
        </is>
      </c>
      <c r="AY298" t="inlineStr">
        <is>
          <t>2256441000002656</t>
        </is>
      </c>
      <c r="AZ298" t="inlineStr">
        <is>
          <t>BOOK</t>
        </is>
      </c>
      <c r="BB298" t="inlineStr">
        <is>
          <t>9780697073457</t>
        </is>
      </c>
      <c r="BC298" t="inlineStr">
        <is>
          <t>32285000065721</t>
        </is>
      </c>
      <c r="BD298" t="inlineStr">
        <is>
          <t>893429091</t>
        </is>
      </c>
    </row>
    <row r="299">
      <c r="A299" t="inlineStr">
        <is>
          <t>No</t>
        </is>
      </c>
      <c r="B299" t="inlineStr">
        <is>
          <t>HV5035 .C63 1983</t>
        </is>
      </c>
      <c r="C299" t="inlineStr">
        <is>
          <t>0                      HV 5035000C  63          1983</t>
        </is>
      </c>
      <c r="D299" t="inlineStr">
        <is>
          <t>The alcoholism problems : selected issues / Sidney Cohen.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Cohen, Sidney, 1939-</t>
        </is>
      </c>
      <c r="L299" t="inlineStr">
        <is>
          <t>New York : Haworth Press, c1983.</t>
        </is>
      </c>
      <c r="M299" t="inlineStr">
        <is>
          <t>1983</t>
        </is>
      </c>
      <c r="O299" t="inlineStr">
        <is>
          <t>eng</t>
        </is>
      </c>
      <c r="P299" t="inlineStr">
        <is>
          <t>nyu</t>
        </is>
      </c>
      <c r="R299" t="inlineStr">
        <is>
          <t xml:space="preserve">HV </t>
        </is>
      </c>
      <c r="S299" t="n">
        <v>41</v>
      </c>
      <c r="T299" t="n">
        <v>41</v>
      </c>
      <c r="U299" t="inlineStr">
        <is>
          <t>2005-10-25</t>
        </is>
      </c>
      <c r="V299" t="inlineStr">
        <is>
          <t>2005-10-25</t>
        </is>
      </c>
      <c r="W299" t="inlineStr">
        <is>
          <t>1990-03-13</t>
        </is>
      </c>
      <c r="X299" t="inlineStr">
        <is>
          <t>1990-03-13</t>
        </is>
      </c>
      <c r="Y299" t="n">
        <v>560</v>
      </c>
      <c r="Z299" t="n">
        <v>500</v>
      </c>
      <c r="AA299" t="n">
        <v>505</v>
      </c>
      <c r="AB299" t="n">
        <v>4</v>
      </c>
      <c r="AC299" t="n">
        <v>4</v>
      </c>
      <c r="AD299" t="n">
        <v>20</v>
      </c>
      <c r="AE299" t="n">
        <v>20</v>
      </c>
      <c r="AF299" t="n">
        <v>10</v>
      </c>
      <c r="AG299" t="n">
        <v>10</v>
      </c>
      <c r="AH299" t="n">
        <v>2</v>
      </c>
      <c r="AI299" t="n">
        <v>2</v>
      </c>
      <c r="AJ299" t="n">
        <v>10</v>
      </c>
      <c r="AK299" t="n">
        <v>10</v>
      </c>
      <c r="AL299" t="n">
        <v>3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HYPERLINK("https://creighton-primo.hosted.exlibrisgroup.com/primo-explore/search?tab=default_tab&amp;search_scope=EVERYTHING&amp;vid=01CRU&amp;lang=en_US&amp;offset=0&amp;query=any,contains,991000165589702656","Catalog Record")</f>
        <v/>
      </c>
      <c r="AT299">
        <f>HYPERLINK("http://www.worldcat.org/oclc/9283180","WorldCat Record")</f>
        <v/>
      </c>
      <c r="AU299" t="inlineStr">
        <is>
          <t>309075746:eng</t>
        </is>
      </c>
      <c r="AV299" t="inlineStr">
        <is>
          <t>9283180</t>
        </is>
      </c>
      <c r="AW299" t="inlineStr">
        <is>
          <t>991000165589702656</t>
        </is>
      </c>
      <c r="AX299" t="inlineStr">
        <is>
          <t>991000165589702656</t>
        </is>
      </c>
      <c r="AY299" t="inlineStr">
        <is>
          <t>2261674700002656</t>
        </is>
      </c>
      <c r="AZ299" t="inlineStr">
        <is>
          <t>BOOK</t>
        </is>
      </c>
      <c r="BB299" t="inlineStr">
        <is>
          <t>9780866561792</t>
        </is>
      </c>
      <c r="BC299" t="inlineStr">
        <is>
          <t>32285000085281</t>
        </is>
      </c>
      <c r="BD299" t="inlineStr">
        <is>
          <t>893339349</t>
        </is>
      </c>
    </row>
    <row r="300">
      <c r="A300" t="inlineStr">
        <is>
          <t>No</t>
        </is>
      </c>
      <c r="B300" t="inlineStr">
        <is>
          <t>HV5035 .P54</t>
        </is>
      </c>
      <c r="C300" t="inlineStr">
        <is>
          <t>0                      HV 5035000P  54</t>
        </is>
      </c>
      <c r="D300" t="inlineStr">
        <is>
          <t>Alcoholism / edited by David J. Pittman.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Pittman, David J. (David Joshua), 1927-, compiler.</t>
        </is>
      </c>
      <c r="L300" t="inlineStr">
        <is>
          <t>New York : Harper &amp; Row,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nyu</t>
        </is>
      </c>
      <c r="Q300" t="inlineStr">
        <is>
          <t>Readers in social problems</t>
        </is>
      </c>
      <c r="R300" t="inlineStr">
        <is>
          <t xml:space="preserve">HV </t>
        </is>
      </c>
      <c r="S300" t="n">
        <v>22</v>
      </c>
      <c r="T300" t="n">
        <v>22</v>
      </c>
      <c r="U300" t="inlineStr">
        <is>
          <t>2003-11-20</t>
        </is>
      </c>
      <c r="V300" t="inlineStr">
        <is>
          <t>2003-11-20</t>
        </is>
      </c>
      <c r="W300" t="inlineStr">
        <is>
          <t>1990-11-19</t>
        </is>
      </c>
      <c r="X300" t="inlineStr">
        <is>
          <t>1990-11-19</t>
        </is>
      </c>
      <c r="Y300" t="n">
        <v>629</v>
      </c>
      <c r="Z300" t="n">
        <v>515</v>
      </c>
      <c r="AA300" t="n">
        <v>549</v>
      </c>
      <c r="AB300" t="n">
        <v>8</v>
      </c>
      <c r="AC300" t="n">
        <v>8</v>
      </c>
      <c r="AD300" t="n">
        <v>34</v>
      </c>
      <c r="AE300" t="n">
        <v>35</v>
      </c>
      <c r="AF300" t="n">
        <v>12</v>
      </c>
      <c r="AG300" t="n">
        <v>12</v>
      </c>
      <c r="AH300" t="n">
        <v>7</v>
      </c>
      <c r="AI300" t="n">
        <v>7</v>
      </c>
      <c r="AJ300" t="n">
        <v>15</v>
      </c>
      <c r="AK300" t="n">
        <v>16</v>
      </c>
      <c r="AL300" t="n">
        <v>7</v>
      </c>
      <c r="AM300" t="n">
        <v>7</v>
      </c>
      <c r="AN300" t="n">
        <v>1</v>
      </c>
      <c r="AO300" t="n">
        <v>1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HYPERLINK("http://catalog.hathitrust.org/Record/000148118","HathiTrust Record")</f>
        <v/>
      </c>
      <c r="AS300">
        <f>HYPERLINK("https://creighton-primo.hosted.exlibrisgroup.com/primo-explore/search?tab=default_tab&amp;search_scope=EVERYTHING&amp;vid=01CRU&amp;lang=en_US&amp;offset=0&amp;query=any,contains,991002862279702656","Catalog Record")</f>
        <v/>
      </c>
      <c r="AT300">
        <f>HYPERLINK("http://www.worldcat.org/oclc/494161","WorldCat Record")</f>
        <v/>
      </c>
      <c r="AU300" t="inlineStr">
        <is>
          <t>1146163:eng</t>
        </is>
      </c>
      <c r="AV300" t="inlineStr">
        <is>
          <t>494161</t>
        </is>
      </c>
      <c r="AW300" t="inlineStr">
        <is>
          <t>991002862279702656</t>
        </is>
      </c>
      <c r="AX300" t="inlineStr">
        <is>
          <t>991002862279702656</t>
        </is>
      </c>
      <c r="AY300" t="inlineStr">
        <is>
          <t>2255610240002656</t>
        </is>
      </c>
      <c r="AZ300" t="inlineStr">
        <is>
          <t>BOOK</t>
        </is>
      </c>
      <c r="BC300" t="inlineStr">
        <is>
          <t>32285000397454</t>
        </is>
      </c>
      <c r="BD300" t="inlineStr">
        <is>
          <t>893341954</t>
        </is>
      </c>
    </row>
    <row r="301">
      <c r="A301" t="inlineStr">
        <is>
          <t>No</t>
        </is>
      </c>
      <c r="B301" t="inlineStr">
        <is>
          <t>HV5035 .R9</t>
        </is>
      </c>
      <c r="C301" t="inlineStr">
        <is>
          <t>0                      HV 5035000R  9</t>
        </is>
      </c>
      <c r="D301" t="inlineStr">
        <is>
          <t>Alcohol problems and alcoholism : a comprehensive survey / James E. Royce.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Royce, James E.</t>
        </is>
      </c>
      <c r="L301" t="inlineStr">
        <is>
          <t>New York : Free Press, c1981.</t>
        </is>
      </c>
      <c r="M301" t="inlineStr">
        <is>
          <t>1981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HV </t>
        </is>
      </c>
      <c r="S301" t="n">
        <v>63</v>
      </c>
      <c r="T301" t="n">
        <v>63</v>
      </c>
      <c r="U301" t="inlineStr">
        <is>
          <t>2005-11-29</t>
        </is>
      </c>
      <c r="V301" t="inlineStr">
        <is>
          <t>2005-11-29</t>
        </is>
      </c>
      <c r="W301" t="inlineStr">
        <is>
          <t>1990-01-29</t>
        </is>
      </c>
      <c r="X301" t="inlineStr">
        <is>
          <t>1990-01-29</t>
        </is>
      </c>
      <c r="Y301" t="n">
        <v>842</v>
      </c>
      <c r="Z301" t="n">
        <v>760</v>
      </c>
      <c r="AA301" t="n">
        <v>921</v>
      </c>
      <c r="AB301" t="n">
        <v>6</v>
      </c>
      <c r="AC301" t="n">
        <v>7</v>
      </c>
      <c r="AD301" t="n">
        <v>29</v>
      </c>
      <c r="AE301" t="n">
        <v>36</v>
      </c>
      <c r="AF301" t="n">
        <v>12</v>
      </c>
      <c r="AG301" t="n">
        <v>16</v>
      </c>
      <c r="AH301" t="n">
        <v>5</v>
      </c>
      <c r="AI301" t="n">
        <v>5</v>
      </c>
      <c r="AJ301" t="n">
        <v>11</v>
      </c>
      <c r="AK301" t="n">
        <v>15</v>
      </c>
      <c r="AL301" t="n">
        <v>5</v>
      </c>
      <c r="AM301" t="n">
        <v>6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HYPERLINK("https://creighton-primo.hosted.exlibrisgroup.com/primo-explore/search?tab=default_tab&amp;search_scope=EVERYTHING&amp;vid=01CRU&amp;lang=en_US&amp;offset=0&amp;query=any,contains,991005139959702656","Catalog Record")</f>
        <v/>
      </c>
      <c r="AT301">
        <f>HYPERLINK("http://www.worldcat.org/oclc/7597683","WorldCat Record")</f>
        <v/>
      </c>
      <c r="AU301" t="inlineStr">
        <is>
          <t>21797926:eng</t>
        </is>
      </c>
      <c r="AV301" t="inlineStr">
        <is>
          <t>7597683</t>
        </is>
      </c>
      <c r="AW301" t="inlineStr">
        <is>
          <t>991005139959702656</t>
        </is>
      </c>
      <c r="AX301" t="inlineStr">
        <is>
          <t>991005139959702656</t>
        </is>
      </c>
      <c r="AY301" t="inlineStr">
        <is>
          <t>2254801130002656</t>
        </is>
      </c>
      <c r="AZ301" t="inlineStr">
        <is>
          <t>BOOK</t>
        </is>
      </c>
      <c r="BB301" t="inlineStr">
        <is>
          <t>9780029275405</t>
        </is>
      </c>
      <c r="BC301" t="inlineStr">
        <is>
          <t>32285000036763</t>
        </is>
      </c>
      <c r="BD301" t="inlineStr">
        <is>
          <t>893719854</t>
        </is>
      </c>
    </row>
    <row r="302">
      <c r="A302" t="inlineStr">
        <is>
          <t>No</t>
        </is>
      </c>
      <c r="B302" t="inlineStr">
        <is>
          <t>HV5050 .B83</t>
        </is>
      </c>
      <c r="C302" t="inlineStr">
        <is>
          <t>0                      HV 5050000B  83</t>
        </is>
      </c>
      <c r="D302" t="inlineStr">
        <is>
          <t>The impact of alcoholism / by Steven F. Bucky and Richard Boyatzis [et al.] --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Bucky, Steven F.</t>
        </is>
      </c>
      <c r="L302" t="inlineStr">
        <is>
          <t>Center City, Mn. : Hazelden, 1978.</t>
        </is>
      </c>
      <c r="M302" t="inlineStr">
        <is>
          <t>1978</t>
        </is>
      </c>
      <c r="O302" t="inlineStr">
        <is>
          <t>eng</t>
        </is>
      </c>
      <c r="P302" t="inlineStr">
        <is>
          <t>mnu</t>
        </is>
      </c>
      <c r="R302" t="inlineStr">
        <is>
          <t xml:space="preserve">HV </t>
        </is>
      </c>
      <c r="S302" t="n">
        <v>39</v>
      </c>
      <c r="T302" t="n">
        <v>39</v>
      </c>
      <c r="U302" t="inlineStr">
        <is>
          <t>2005-10-25</t>
        </is>
      </c>
      <c r="V302" t="inlineStr">
        <is>
          <t>2005-10-25</t>
        </is>
      </c>
      <c r="W302" t="inlineStr">
        <is>
          <t>1996-02-01</t>
        </is>
      </c>
      <c r="X302" t="inlineStr">
        <is>
          <t>1996-02-01</t>
        </is>
      </c>
      <c r="Y302" t="n">
        <v>107</v>
      </c>
      <c r="Z302" t="n">
        <v>96</v>
      </c>
      <c r="AA302" t="n">
        <v>101</v>
      </c>
      <c r="AB302" t="n">
        <v>2</v>
      </c>
      <c r="AC302" t="n">
        <v>2</v>
      </c>
      <c r="AD302" t="n">
        <v>5</v>
      </c>
      <c r="AE302" t="n">
        <v>5</v>
      </c>
      <c r="AF302" t="n">
        <v>1</v>
      </c>
      <c r="AG302" t="n">
        <v>1</v>
      </c>
      <c r="AH302" t="n">
        <v>1</v>
      </c>
      <c r="AI302" t="n">
        <v>1</v>
      </c>
      <c r="AJ302" t="n">
        <v>2</v>
      </c>
      <c r="AK302" t="n">
        <v>2</v>
      </c>
      <c r="AL302" t="n">
        <v>1</v>
      </c>
      <c r="AM302" t="n">
        <v>1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HYPERLINK("https://creighton-primo.hosted.exlibrisgroup.com/primo-explore/search?tab=default_tab&amp;search_scope=EVERYTHING&amp;vid=01CRU&amp;lang=en_US&amp;offset=0&amp;query=any,contains,991004617529702656","Catalog Record")</f>
        <v/>
      </c>
      <c r="AT302">
        <f>HYPERLINK("http://www.worldcat.org/oclc/4492984","WorldCat Record")</f>
        <v/>
      </c>
      <c r="AU302" t="inlineStr">
        <is>
          <t>14763208:eng</t>
        </is>
      </c>
      <c r="AV302" t="inlineStr">
        <is>
          <t>4492984</t>
        </is>
      </c>
      <c r="AW302" t="inlineStr">
        <is>
          <t>991004617529702656</t>
        </is>
      </c>
      <c r="AX302" t="inlineStr">
        <is>
          <t>991004617529702656</t>
        </is>
      </c>
      <c r="AY302" t="inlineStr">
        <is>
          <t>2259768460002656</t>
        </is>
      </c>
      <c r="AZ302" t="inlineStr">
        <is>
          <t>BOOK</t>
        </is>
      </c>
      <c r="BB302" t="inlineStr">
        <is>
          <t>9780894860447</t>
        </is>
      </c>
      <c r="BC302" t="inlineStr">
        <is>
          <t>32285002120557</t>
        </is>
      </c>
      <c r="BD302" t="inlineStr">
        <is>
          <t>893694133</t>
        </is>
      </c>
    </row>
    <row r="303">
      <c r="A303" t="inlineStr">
        <is>
          <t>No</t>
        </is>
      </c>
      <c r="B303" t="inlineStr">
        <is>
          <t>HV5089 .C43</t>
        </is>
      </c>
      <c r="C303" t="inlineStr">
        <is>
          <t>0                      HV 5089000C  43</t>
        </is>
      </c>
      <c r="D303" t="inlineStr">
        <is>
          <t>The evolution of prohibition in the United States of America; a chronological history of the liquor problem and the temperance reform in the United States from the earliest settlements to the consummation of national prohibition, by Ernest H. Cherrington ...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Cherrington, Ernest Hurst, 1877-1950.</t>
        </is>
      </c>
      <c r="L303" t="inlineStr">
        <is>
          <t>Westerville, O., The American issue press [1920]</t>
        </is>
      </c>
      <c r="M303" t="inlineStr">
        <is>
          <t>1920</t>
        </is>
      </c>
      <c r="O303" t="inlineStr">
        <is>
          <t>eng</t>
        </is>
      </c>
      <c r="P303" t="inlineStr">
        <is>
          <t xml:space="preserve">xx </t>
        </is>
      </c>
      <c r="R303" t="inlineStr">
        <is>
          <t xml:space="preserve">HV </t>
        </is>
      </c>
      <c r="S303" t="n">
        <v>9</v>
      </c>
      <c r="T303" t="n">
        <v>9</v>
      </c>
      <c r="U303" t="inlineStr">
        <is>
          <t>2001-03-26</t>
        </is>
      </c>
      <c r="V303" t="inlineStr">
        <is>
          <t>2001-03-26</t>
        </is>
      </c>
      <c r="W303" t="inlineStr">
        <is>
          <t>1997-08-22</t>
        </is>
      </c>
      <c r="X303" t="inlineStr">
        <is>
          <t>1997-08-22</t>
        </is>
      </c>
      <c r="Y303" t="n">
        <v>423</v>
      </c>
      <c r="Z303" t="n">
        <v>401</v>
      </c>
      <c r="AA303" t="n">
        <v>659</v>
      </c>
      <c r="AB303" t="n">
        <v>7</v>
      </c>
      <c r="AC303" t="n">
        <v>8</v>
      </c>
      <c r="AD303" t="n">
        <v>24</v>
      </c>
      <c r="AE303" t="n">
        <v>35</v>
      </c>
      <c r="AF303" t="n">
        <v>11</v>
      </c>
      <c r="AG303" t="n">
        <v>15</v>
      </c>
      <c r="AH303" t="n">
        <v>4</v>
      </c>
      <c r="AI303" t="n">
        <v>6</v>
      </c>
      <c r="AJ303" t="n">
        <v>6</v>
      </c>
      <c r="AK303" t="n">
        <v>10</v>
      </c>
      <c r="AL303" t="n">
        <v>6</v>
      </c>
      <c r="AM303" t="n">
        <v>6</v>
      </c>
      <c r="AN303" t="n">
        <v>1</v>
      </c>
      <c r="AO303" t="n">
        <v>3</v>
      </c>
      <c r="AP303" t="inlineStr">
        <is>
          <t>Yes</t>
        </is>
      </c>
      <c r="AQ303" t="inlineStr">
        <is>
          <t>No</t>
        </is>
      </c>
      <c r="AR303">
        <f>HYPERLINK("http://catalog.hathitrust.org/Record/001133502","HathiTrust Record")</f>
        <v/>
      </c>
      <c r="AS303">
        <f>HYPERLINK("https://creighton-primo.hosted.exlibrisgroup.com/primo-explore/search?tab=default_tab&amp;search_scope=EVERYTHING&amp;vid=01CRU&amp;lang=en_US&amp;offset=0&amp;query=any,contains,991003778799702656","Catalog Record")</f>
        <v/>
      </c>
      <c r="AT303">
        <f>HYPERLINK("http://www.worldcat.org/oclc/1489867","WorldCat Record")</f>
        <v/>
      </c>
      <c r="AU303" t="inlineStr">
        <is>
          <t>5090486988:eng</t>
        </is>
      </c>
      <c r="AV303" t="inlineStr">
        <is>
          <t>1489867</t>
        </is>
      </c>
      <c r="AW303" t="inlineStr">
        <is>
          <t>991003778799702656</t>
        </is>
      </c>
      <c r="AX303" t="inlineStr">
        <is>
          <t>991003778799702656</t>
        </is>
      </c>
      <c r="AY303" t="inlineStr">
        <is>
          <t>2257955330002656</t>
        </is>
      </c>
      <c r="AZ303" t="inlineStr">
        <is>
          <t>BOOK</t>
        </is>
      </c>
      <c r="BC303" t="inlineStr">
        <is>
          <t>32285003157491</t>
        </is>
      </c>
      <c r="BD303" t="inlineStr">
        <is>
          <t>893592883</t>
        </is>
      </c>
    </row>
    <row r="304">
      <c r="A304" t="inlineStr">
        <is>
          <t>No</t>
        </is>
      </c>
      <c r="B304" t="inlineStr">
        <is>
          <t>HV5089 .C68</t>
        </is>
      </c>
      <c r="C304" t="inlineStr">
        <is>
          <t>0                      HV 5089000C  68</t>
        </is>
      </c>
      <c r="D304" t="inlineStr">
        <is>
          <t>Prohibition in the United States; a history of the Prohibition party, and of the prohibition movement, by D. Leigh Colvin, PH.D.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Colvin, D. Leigh (David Leigh), 1880-</t>
        </is>
      </c>
      <c r="L304" t="inlineStr">
        <is>
          <t>New York, George H. Doran company [c1926]</t>
        </is>
      </c>
      <c r="M304" t="inlineStr">
        <is>
          <t>1926</t>
        </is>
      </c>
      <c r="O304" t="inlineStr">
        <is>
          <t>eng</t>
        </is>
      </c>
      <c r="P304" t="inlineStr">
        <is>
          <t xml:space="preserve">xx </t>
        </is>
      </c>
      <c r="R304" t="inlineStr">
        <is>
          <t xml:space="preserve">HV </t>
        </is>
      </c>
      <c r="S304" t="n">
        <v>7</v>
      </c>
      <c r="T304" t="n">
        <v>7</v>
      </c>
      <c r="U304" t="inlineStr">
        <is>
          <t>2000-02-27</t>
        </is>
      </c>
      <c r="V304" t="inlineStr">
        <is>
          <t>2000-02-27</t>
        </is>
      </c>
      <c r="W304" t="inlineStr">
        <is>
          <t>1997-08-22</t>
        </is>
      </c>
      <c r="X304" t="inlineStr">
        <is>
          <t>1997-08-22</t>
        </is>
      </c>
      <c r="Y304" t="n">
        <v>246</v>
      </c>
      <c r="Z304" t="n">
        <v>228</v>
      </c>
      <c r="AA304" t="n">
        <v>232</v>
      </c>
      <c r="AB304" t="n">
        <v>2</v>
      </c>
      <c r="AC304" t="n">
        <v>2</v>
      </c>
      <c r="AD304" t="n">
        <v>9</v>
      </c>
      <c r="AE304" t="n">
        <v>9</v>
      </c>
      <c r="AF304" t="n">
        <v>3</v>
      </c>
      <c r="AG304" t="n">
        <v>3</v>
      </c>
      <c r="AH304" t="n">
        <v>2</v>
      </c>
      <c r="AI304" t="n">
        <v>2</v>
      </c>
      <c r="AJ304" t="n">
        <v>3</v>
      </c>
      <c r="AK304" t="n">
        <v>3</v>
      </c>
      <c r="AL304" t="n">
        <v>1</v>
      </c>
      <c r="AM304" t="n">
        <v>1</v>
      </c>
      <c r="AN304" t="n">
        <v>1</v>
      </c>
      <c r="AO304" t="n">
        <v>1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HYPERLINK("http://catalog.hathitrust.org/Record/002749813","HathiTrust Record")</f>
        <v/>
      </c>
      <c r="AS304">
        <f>HYPERLINK("https://creighton-primo.hosted.exlibrisgroup.com/primo-explore/search?tab=default_tab&amp;search_scope=EVERYTHING&amp;vid=01CRU&amp;lang=en_US&amp;offset=0&amp;query=any,contains,991003613819702656","Catalog Record")</f>
        <v/>
      </c>
      <c r="AT304">
        <f>HYPERLINK("http://www.worldcat.org/oclc/1196368","WorldCat Record")</f>
        <v/>
      </c>
      <c r="AU304" t="inlineStr">
        <is>
          <t>2157115:eng</t>
        </is>
      </c>
      <c r="AV304" t="inlineStr">
        <is>
          <t>1196368</t>
        </is>
      </c>
      <c r="AW304" t="inlineStr">
        <is>
          <t>991003613819702656</t>
        </is>
      </c>
      <c r="AX304" t="inlineStr">
        <is>
          <t>991003613819702656</t>
        </is>
      </c>
      <c r="AY304" t="inlineStr">
        <is>
          <t>2259698380002656</t>
        </is>
      </c>
      <c r="AZ304" t="inlineStr">
        <is>
          <t>BOOK</t>
        </is>
      </c>
      <c r="BC304" t="inlineStr">
        <is>
          <t>32285003157517</t>
        </is>
      </c>
      <c r="BD304" t="inlineStr">
        <is>
          <t>893793815</t>
        </is>
      </c>
    </row>
    <row r="305">
      <c r="A305" t="inlineStr">
        <is>
          <t>No</t>
        </is>
      </c>
      <c r="B305" t="inlineStr">
        <is>
          <t>HV5089 .F615 1927</t>
        </is>
      </c>
      <c r="C305" t="inlineStr">
        <is>
          <t>0                      HV 5089000F  615         1927</t>
        </is>
      </c>
      <c r="D305" t="inlineStr">
        <is>
          <t>Prohibition at its worst / by Irving Fisher. Special ed. printed for the Intercollegiate prohibition association, Washington, D. C.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Fisher, Irving, 1867-1947.</t>
        </is>
      </c>
      <c r="L305" t="inlineStr">
        <is>
          <t>New York, N. Y. : Alcohol information committee, 1927.</t>
        </is>
      </c>
      <c r="M305" t="inlineStr">
        <is>
          <t>1927</t>
        </is>
      </c>
      <c r="N305" t="inlineStr">
        <is>
          <t>Rev., 5th ed.</t>
        </is>
      </c>
      <c r="O305" t="inlineStr">
        <is>
          <t>eng</t>
        </is>
      </c>
      <c r="P305" t="inlineStr">
        <is>
          <t xml:space="preserve">xx </t>
        </is>
      </c>
      <c r="R305" t="inlineStr">
        <is>
          <t xml:space="preserve">HV </t>
        </is>
      </c>
      <c r="S305" t="n">
        <v>8</v>
      </c>
      <c r="T305" t="n">
        <v>8</v>
      </c>
      <c r="U305" t="inlineStr">
        <is>
          <t>2003-11-16</t>
        </is>
      </c>
      <c r="V305" t="inlineStr">
        <is>
          <t>2003-11-16</t>
        </is>
      </c>
      <c r="W305" t="inlineStr">
        <is>
          <t>1993-11-30</t>
        </is>
      </c>
      <c r="X305" t="inlineStr">
        <is>
          <t>1993-11-30</t>
        </is>
      </c>
      <c r="Y305" t="n">
        <v>148</v>
      </c>
      <c r="Z305" t="n">
        <v>147</v>
      </c>
      <c r="AA305" t="n">
        <v>585</v>
      </c>
      <c r="AB305" t="n">
        <v>1</v>
      </c>
      <c r="AC305" t="n">
        <v>6</v>
      </c>
      <c r="AD305" t="n">
        <v>7</v>
      </c>
      <c r="AE305" t="n">
        <v>29</v>
      </c>
      <c r="AF305" t="n">
        <v>4</v>
      </c>
      <c r="AG305" t="n">
        <v>11</v>
      </c>
      <c r="AH305" t="n">
        <v>1</v>
      </c>
      <c r="AI305" t="n">
        <v>4</v>
      </c>
      <c r="AJ305" t="n">
        <v>3</v>
      </c>
      <c r="AK305" t="n">
        <v>8</v>
      </c>
      <c r="AL305" t="n">
        <v>0</v>
      </c>
      <c r="AM305" t="n">
        <v>4</v>
      </c>
      <c r="AN305" t="n">
        <v>0</v>
      </c>
      <c r="AO305" t="n">
        <v>6</v>
      </c>
      <c r="AP305" t="inlineStr">
        <is>
          <t>Yes</t>
        </is>
      </c>
      <c r="AQ305" t="inlineStr">
        <is>
          <t>No</t>
        </is>
      </c>
      <c r="AR305">
        <f>HYPERLINK("http://catalog.hathitrust.org/Record/001120178","HathiTrust Record")</f>
        <v/>
      </c>
      <c r="AS305">
        <f>HYPERLINK("https://creighton-primo.hosted.exlibrisgroup.com/primo-explore/search?tab=default_tab&amp;search_scope=EVERYTHING&amp;vid=01CRU&amp;lang=en_US&amp;offset=0&amp;query=any,contains,991003777579702656","Catalog Record")</f>
        <v/>
      </c>
      <c r="AT305">
        <f>HYPERLINK("http://www.worldcat.org/oclc/1487429","WorldCat Record")</f>
        <v/>
      </c>
      <c r="AU305" t="inlineStr">
        <is>
          <t>2174746:eng</t>
        </is>
      </c>
      <c r="AV305" t="inlineStr">
        <is>
          <t>1487429</t>
        </is>
      </c>
      <c r="AW305" t="inlineStr">
        <is>
          <t>991003777579702656</t>
        </is>
      </c>
      <c r="AX305" t="inlineStr">
        <is>
          <t>991003777579702656</t>
        </is>
      </c>
      <c r="AY305" t="inlineStr">
        <is>
          <t>2259204010002656</t>
        </is>
      </c>
      <c r="AZ305" t="inlineStr">
        <is>
          <t>BOOK</t>
        </is>
      </c>
      <c r="BC305" t="inlineStr">
        <is>
          <t>32285001689123</t>
        </is>
      </c>
      <c r="BD305" t="inlineStr">
        <is>
          <t>893330790</t>
        </is>
      </c>
    </row>
    <row r="306">
      <c r="A306" t="inlineStr">
        <is>
          <t>No</t>
        </is>
      </c>
      <c r="B306" t="inlineStr">
        <is>
          <t>HV5089 .F617</t>
        </is>
      </c>
      <c r="C306" t="inlineStr">
        <is>
          <t>0                      HV 5089000F  617</t>
        </is>
      </c>
      <c r="D306" t="inlineStr">
        <is>
          <t>Prohibition still at its worst / by Irving Fisher assisted by H. Bruce Brougham.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Fisher, Irving, 1867-1947.</t>
        </is>
      </c>
      <c r="L306" t="inlineStr">
        <is>
          <t>New York : Alcohol information committee, 1928.</t>
        </is>
      </c>
      <c r="M306" t="inlineStr">
        <is>
          <t>1928</t>
        </is>
      </c>
      <c r="O306" t="inlineStr">
        <is>
          <t>eng</t>
        </is>
      </c>
      <c r="P306" t="inlineStr">
        <is>
          <t>nyu</t>
        </is>
      </c>
      <c r="R306" t="inlineStr">
        <is>
          <t xml:space="preserve">HV </t>
        </is>
      </c>
      <c r="S306" t="n">
        <v>5</v>
      </c>
      <c r="T306" t="n">
        <v>5</v>
      </c>
      <c r="U306" t="inlineStr">
        <is>
          <t>2007-12-11</t>
        </is>
      </c>
      <c r="V306" t="inlineStr">
        <is>
          <t>2007-12-11</t>
        </is>
      </c>
      <c r="W306" t="inlineStr">
        <is>
          <t>1992-05-07</t>
        </is>
      </c>
      <c r="X306" t="inlineStr">
        <is>
          <t>1992-05-07</t>
        </is>
      </c>
      <c r="Y306" t="n">
        <v>253</v>
      </c>
      <c r="Z306" t="n">
        <v>243</v>
      </c>
      <c r="AA306" t="n">
        <v>249</v>
      </c>
      <c r="AB306" t="n">
        <v>7</v>
      </c>
      <c r="AC306" t="n">
        <v>7</v>
      </c>
      <c r="AD306" t="n">
        <v>12</v>
      </c>
      <c r="AE306" t="n">
        <v>12</v>
      </c>
      <c r="AF306" t="n">
        <v>3</v>
      </c>
      <c r="AG306" t="n">
        <v>3</v>
      </c>
      <c r="AH306" t="n">
        <v>1</v>
      </c>
      <c r="AI306" t="n">
        <v>1</v>
      </c>
      <c r="AJ306" t="n">
        <v>2</v>
      </c>
      <c r="AK306" t="n">
        <v>2</v>
      </c>
      <c r="AL306" t="n">
        <v>6</v>
      </c>
      <c r="AM306" t="n">
        <v>6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HYPERLINK("http://catalog.hathitrust.org/Record/001133512","HathiTrust Record")</f>
        <v/>
      </c>
      <c r="AS306">
        <f>HYPERLINK("https://creighton-primo.hosted.exlibrisgroup.com/primo-explore/search?tab=default_tab&amp;search_scope=EVERYTHING&amp;vid=01CRU&amp;lang=en_US&amp;offset=0&amp;query=any,contains,991004068649702656","Catalog Record")</f>
        <v/>
      </c>
      <c r="AT306">
        <f>HYPERLINK("http://www.worldcat.org/oclc/2292407","WorldCat Record")</f>
        <v/>
      </c>
      <c r="AU306" t="inlineStr">
        <is>
          <t>3768590112:eng</t>
        </is>
      </c>
      <c r="AV306" t="inlineStr">
        <is>
          <t>2292407</t>
        </is>
      </c>
      <c r="AW306" t="inlineStr">
        <is>
          <t>991004068649702656</t>
        </is>
      </c>
      <c r="AX306" t="inlineStr">
        <is>
          <t>991004068649702656</t>
        </is>
      </c>
      <c r="AY306" t="inlineStr">
        <is>
          <t>2265186740002656</t>
        </is>
      </c>
      <c r="AZ306" t="inlineStr">
        <is>
          <t>BOOK</t>
        </is>
      </c>
      <c r="BC306" t="inlineStr">
        <is>
          <t>32285001094548</t>
        </is>
      </c>
      <c r="BD306" t="inlineStr">
        <is>
          <t>893593229</t>
        </is>
      </c>
    </row>
    <row r="307">
      <c r="A307" t="inlineStr">
        <is>
          <t>No</t>
        </is>
      </c>
      <c r="B307" t="inlineStr">
        <is>
          <t>HV5089 .K95</t>
        </is>
      </c>
      <c r="C307" t="inlineStr">
        <is>
          <t>0                      HV 5089000K  95</t>
        </is>
      </c>
      <c r="D307" t="inlineStr">
        <is>
          <t>Repealing national prohibition / David E. Kyvig.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Kyvig, David E.</t>
        </is>
      </c>
      <c r="L307" t="inlineStr">
        <is>
          <t>Chicago : University of Chicago Press, 1979.</t>
        </is>
      </c>
      <c r="M307" t="inlineStr">
        <is>
          <t>1979</t>
        </is>
      </c>
      <c r="O307" t="inlineStr">
        <is>
          <t>eng</t>
        </is>
      </c>
      <c r="P307" t="inlineStr">
        <is>
          <t>ilu</t>
        </is>
      </c>
      <c r="R307" t="inlineStr">
        <is>
          <t xml:space="preserve">HV </t>
        </is>
      </c>
      <c r="S307" t="n">
        <v>20</v>
      </c>
      <c r="T307" t="n">
        <v>20</v>
      </c>
      <c r="U307" t="inlineStr">
        <is>
          <t>2000-02-27</t>
        </is>
      </c>
      <c r="V307" t="inlineStr">
        <is>
          <t>2000-02-27</t>
        </is>
      </c>
      <c r="W307" t="inlineStr">
        <is>
          <t>1992-05-05</t>
        </is>
      </c>
      <c r="X307" t="inlineStr">
        <is>
          <t>1992-05-05</t>
        </is>
      </c>
      <c r="Y307" t="n">
        <v>603</v>
      </c>
      <c r="Z307" t="n">
        <v>529</v>
      </c>
      <c r="AA307" t="n">
        <v>723</v>
      </c>
      <c r="AB307" t="n">
        <v>3</v>
      </c>
      <c r="AC307" t="n">
        <v>3</v>
      </c>
      <c r="AD307" t="n">
        <v>22</v>
      </c>
      <c r="AE307" t="n">
        <v>32</v>
      </c>
      <c r="AF307" t="n">
        <v>8</v>
      </c>
      <c r="AG307" t="n">
        <v>14</v>
      </c>
      <c r="AH307" t="n">
        <v>6</v>
      </c>
      <c r="AI307" t="n">
        <v>10</v>
      </c>
      <c r="AJ307" t="n">
        <v>9</v>
      </c>
      <c r="AK307" t="n">
        <v>13</v>
      </c>
      <c r="AL307" t="n">
        <v>2</v>
      </c>
      <c r="AM307" t="n">
        <v>2</v>
      </c>
      <c r="AN307" t="n">
        <v>3</v>
      </c>
      <c r="AO307" t="n">
        <v>3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HYPERLINK("https://creighton-primo.hosted.exlibrisgroup.com/primo-explore/search?tab=default_tab&amp;search_scope=EVERYTHING&amp;vid=01CRU&amp;lang=en_US&amp;offset=0&amp;query=any,contains,991004758649702656","Catalog Record")</f>
        <v/>
      </c>
      <c r="AT307">
        <f>HYPERLINK("http://www.worldcat.org/oclc/4983340","WorldCat Record")</f>
        <v/>
      </c>
      <c r="AU307" t="inlineStr">
        <is>
          <t>53078:eng</t>
        </is>
      </c>
      <c r="AV307" t="inlineStr">
        <is>
          <t>4983340</t>
        </is>
      </c>
      <c r="AW307" t="inlineStr">
        <is>
          <t>991004758649702656</t>
        </is>
      </c>
      <c r="AX307" t="inlineStr">
        <is>
          <t>991004758649702656</t>
        </is>
      </c>
      <c r="AY307" t="inlineStr">
        <is>
          <t>2265878940002656</t>
        </is>
      </c>
      <c r="AZ307" t="inlineStr">
        <is>
          <t>BOOK</t>
        </is>
      </c>
      <c r="BB307" t="inlineStr">
        <is>
          <t>9780226466415</t>
        </is>
      </c>
      <c r="BC307" t="inlineStr">
        <is>
          <t>32285001094530</t>
        </is>
      </c>
      <c r="BD307" t="inlineStr">
        <is>
          <t>893507200</t>
        </is>
      </c>
    </row>
    <row r="308">
      <c r="A308" t="inlineStr">
        <is>
          <t>No</t>
        </is>
      </c>
      <c r="B308" t="inlineStr">
        <is>
          <t>HV5089 .M53 1969</t>
        </is>
      </c>
      <c r="C308" t="inlineStr">
        <is>
          <t>0                      HV 5089000M  53          1969</t>
        </is>
      </c>
      <c r="D308" t="inlineStr">
        <is>
          <t>The dry decade / with a new introd. by the author.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Merz, Charles, 1893-1977.</t>
        </is>
      </c>
      <c r="L308" t="inlineStr">
        <is>
          <t>Seattle : University of Washington Press, [1969, c1931]</t>
        </is>
      </c>
      <c r="M308" t="inlineStr">
        <is>
          <t>1969</t>
        </is>
      </c>
      <c r="O308" t="inlineStr">
        <is>
          <t>eng</t>
        </is>
      </c>
      <c r="P308" t="inlineStr">
        <is>
          <t>wau</t>
        </is>
      </c>
      <c r="Q308" t="inlineStr">
        <is>
          <t>Americana library ; 13</t>
        </is>
      </c>
      <c r="R308" t="inlineStr">
        <is>
          <t xml:space="preserve">HV </t>
        </is>
      </c>
      <c r="S308" t="n">
        <v>13</v>
      </c>
      <c r="T308" t="n">
        <v>13</v>
      </c>
      <c r="U308" t="inlineStr">
        <is>
          <t>2005-02-07</t>
        </is>
      </c>
      <c r="V308" t="inlineStr">
        <is>
          <t>2005-02-07</t>
        </is>
      </c>
      <c r="W308" t="inlineStr">
        <is>
          <t>1990-04-02</t>
        </is>
      </c>
      <c r="X308" t="inlineStr">
        <is>
          <t>1990-04-02</t>
        </is>
      </c>
      <c r="Y308" t="n">
        <v>389</v>
      </c>
      <c r="Z308" t="n">
        <v>352</v>
      </c>
      <c r="AA308" t="n">
        <v>413</v>
      </c>
      <c r="AB308" t="n">
        <v>4</v>
      </c>
      <c r="AC308" t="n">
        <v>5</v>
      </c>
      <c r="AD308" t="n">
        <v>18</v>
      </c>
      <c r="AE308" t="n">
        <v>19</v>
      </c>
      <c r="AF308" t="n">
        <v>3</v>
      </c>
      <c r="AG308" t="n">
        <v>3</v>
      </c>
      <c r="AH308" t="n">
        <v>4</v>
      </c>
      <c r="AI308" t="n">
        <v>4</v>
      </c>
      <c r="AJ308" t="n">
        <v>10</v>
      </c>
      <c r="AK308" t="n">
        <v>10</v>
      </c>
      <c r="AL308" t="n">
        <v>3</v>
      </c>
      <c r="AM308" t="n">
        <v>4</v>
      </c>
      <c r="AN308" t="n">
        <v>1</v>
      </c>
      <c r="AO308" t="n">
        <v>1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HYPERLINK("http://catalog.hathitrust.org/Record/001744064","HathiTrust Record")</f>
        <v/>
      </c>
      <c r="AS308">
        <f>HYPERLINK("https://creighton-primo.hosted.exlibrisgroup.com/primo-explore/search?tab=default_tab&amp;search_scope=EVERYTHING&amp;vid=01CRU&amp;lang=en_US&amp;offset=0&amp;query=any,contains,991000123929702656","Catalog Record")</f>
        <v/>
      </c>
      <c r="AT308">
        <f>HYPERLINK("http://www.worldcat.org/oclc/51205","WorldCat Record")</f>
        <v/>
      </c>
      <c r="AU308" t="inlineStr">
        <is>
          <t>1170285:eng</t>
        </is>
      </c>
      <c r="AV308" t="inlineStr">
        <is>
          <t>51205</t>
        </is>
      </c>
      <c r="AW308" t="inlineStr">
        <is>
          <t>991000123929702656</t>
        </is>
      </c>
      <c r="AX308" t="inlineStr">
        <is>
          <t>991000123929702656</t>
        </is>
      </c>
      <c r="AY308" t="inlineStr">
        <is>
          <t>2258523990002656</t>
        </is>
      </c>
      <c r="AZ308" t="inlineStr">
        <is>
          <t>BOOK</t>
        </is>
      </c>
      <c r="BC308" t="inlineStr">
        <is>
          <t>32285000100270</t>
        </is>
      </c>
      <c r="BD308" t="inlineStr">
        <is>
          <t>893626211</t>
        </is>
      </c>
    </row>
    <row r="309">
      <c r="A309" t="inlineStr">
        <is>
          <t>No</t>
        </is>
      </c>
      <c r="B309" t="inlineStr">
        <is>
          <t>HV5089 .T55 1963</t>
        </is>
      </c>
      <c r="C309" t="inlineStr">
        <is>
          <t>0                      HV 5089000T  55          1963</t>
        </is>
      </c>
      <c r="D309" t="inlineStr">
        <is>
          <t>Prohibition and the progressive movement, 1900-1920 / [by] James H. Timberlake.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Timberlake, James H.</t>
        </is>
      </c>
      <c r="L309" t="inlineStr">
        <is>
          <t>Cambridge : Harvard University Press, 1963.</t>
        </is>
      </c>
      <c r="M309" t="inlineStr">
        <is>
          <t>1963</t>
        </is>
      </c>
      <c r="O309" t="inlineStr">
        <is>
          <t>eng</t>
        </is>
      </c>
      <c r="P309" t="inlineStr">
        <is>
          <t>mau</t>
        </is>
      </c>
      <c r="R309" t="inlineStr">
        <is>
          <t xml:space="preserve">HV </t>
        </is>
      </c>
      <c r="S309" t="n">
        <v>12</v>
      </c>
      <c r="T309" t="n">
        <v>12</v>
      </c>
      <c r="U309" t="inlineStr">
        <is>
          <t>2005-11-03</t>
        </is>
      </c>
      <c r="V309" t="inlineStr">
        <is>
          <t>2005-11-03</t>
        </is>
      </c>
      <c r="W309" t="inlineStr">
        <is>
          <t>1994-05-11</t>
        </is>
      </c>
      <c r="X309" t="inlineStr">
        <is>
          <t>1994-05-11</t>
        </is>
      </c>
      <c r="Y309" t="n">
        <v>796</v>
      </c>
      <c r="Z309" t="n">
        <v>715</v>
      </c>
      <c r="AA309" t="n">
        <v>836</v>
      </c>
      <c r="AB309" t="n">
        <v>8</v>
      </c>
      <c r="AC309" t="n">
        <v>8</v>
      </c>
      <c r="AD309" t="n">
        <v>32</v>
      </c>
      <c r="AE309" t="n">
        <v>35</v>
      </c>
      <c r="AF309" t="n">
        <v>11</v>
      </c>
      <c r="AG309" t="n">
        <v>12</v>
      </c>
      <c r="AH309" t="n">
        <v>5</v>
      </c>
      <c r="AI309" t="n">
        <v>6</v>
      </c>
      <c r="AJ309" t="n">
        <v>16</v>
      </c>
      <c r="AK309" t="n">
        <v>17</v>
      </c>
      <c r="AL309" t="n">
        <v>5</v>
      </c>
      <c r="AM309" t="n">
        <v>5</v>
      </c>
      <c r="AN309" t="n">
        <v>1</v>
      </c>
      <c r="AO309" t="n">
        <v>2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HYPERLINK("http://catalog.hathitrust.org/Record/001133537","HathiTrust Record")</f>
        <v/>
      </c>
      <c r="AS309">
        <f>HYPERLINK("https://creighton-primo.hosted.exlibrisgroup.com/primo-explore/search?tab=default_tab&amp;search_scope=EVERYTHING&amp;vid=01CRU&amp;lang=en_US&amp;offset=0&amp;query=any,contains,991002080509702656","Catalog Record")</f>
        <v/>
      </c>
      <c r="AT309">
        <f>HYPERLINK("http://www.worldcat.org/oclc/264524","WorldCat Record")</f>
        <v/>
      </c>
      <c r="AU309" t="inlineStr">
        <is>
          <t>1380101:eng</t>
        </is>
      </c>
      <c r="AV309" t="inlineStr">
        <is>
          <t>264524</t>
        </is>
      </c>
      <c r="AW309" t="inlineStr">
        <is>
          <t>991002080509702656</t>
        </is>
      </c>
      <c r="AX309" t="inlineStr">
        <is>
          <t>991002080509702656</t>
        </is>
      </c>
      <c r="AY309" t="inlineStr">
        <is>
          <t>2268217740002656</t>
        </is>
      </c>
      <c r="AZ309" t="inlineStr">
        <is>
          <t>BOOK</t>
        </is>
      </c>
      <c r="BC309" t="inlineStr">
        <is>
          <t>32285001910453</t>
        </is>
      </c>
      <c r="BD309" t="inlineStr">
        <is>
          <t>893691189</t>
        </is>
      </c>
    </row>
    <row r="310">
      <c r="A310" t="inlineStr">
        <is>
          <t>No</t>
        </is>
      </c>
      <c r="B310" t="inlineStr">
        <is>
          <t>HV5090.M5 E53</t>
        </is>
      </c>
      <c r="C310" t="inlineStr">
        <is>
          <t>0                      HV 5090000M  5                  E  53</t>
        </is>
      </c>
      <c r="D310" t="inlineStr">
        <is>
          <t>Intemperance, the lost war against liquor / Larry Engelmann.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Engelmann, Larry.</t>
        </is>
      </c>
      <c r="L310" t="inlineStr">
        <is>
          <t>New York : Free Press, c1979.</t>
        </is>
      </c>
      <c r="M310" t="inlineStr">
        <is>
          <t>1979</t>
        </is>
      </c>
      <c r="O310" t="inlineStr">
        <is>
          <t>eng</t>
        </is>
      </c>
      <c r="P310" t="inlineStr">
        <is>
          <t>nyu</t>
        </is>
      </c>
      <c r="R310" t="inlineStr">
        <is>
          <t xml:space="preserve">HV </t>
        </is>
      </c>
      <c r="S310" t="n">
        <v>7</v>
      </c>
      <c r="T310" t="n">
        <v>7</v>
      </c>
      <c r="U310" t="inlineStr">
        <is>
          <t>2005-02-07</t>
        </is>
      </c>
      <c r="V310" t="inlineStr">
        <is>
          <t>2005-02-07</t>
        </is>
      </c>
      <c r="W310" t="inlineStr">
        <is>
          <t>1992-04-22</t>
        </is>
      </c>
      <c r="X310" t="inlineStr">
        <is>
          <t>1992-04-22</t>
        </is>
      </c>
      <c r="Y310" t="n">
        <v>824</v>
      </c>
      <c r="Z310" t="n">
        <v>749</v>
      </c>
      <c r="AA310" t="n">
        <v>752</v>
      </c>
      <c r="AB310" t="n">
        <v>8</v>
      </c>
      <c r="AC310" t="n">
        <v>8</v>
      </c>
      <c r="AD310" t="n">
        <v>23</v>
      </c>
      <c r="AE310" t="n">
        <v>23</v>
      </c>
      <c r="AF310" t="n">
        <v>5</v>
      </c>
      <c r="AG310" t="n">
        <v>5</v>
      </c>
      <c r="AH310" t="n">
        <v>5</v>
      </c>
      <c r="AI310" t="n">
        <v>5</v>
      </c>
      <c r="AJ310" t="n">
        <v>12</v>
      </c>
      <c r="AK310" t="n">
        <v>12</v>
      </c>
      <c r="AL310" t="n">
        <v>5</v>
      </c>
      <c r="AM310" t="n">
        <v>5</v>
      </c>
      <c r="AN310" t="n">
        <v>2</v>
      </c>
      <c r="AO310" t="n">
        <v>2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HYPERLINK("http://catalog.hathitrust.org/Record/000300836","HathiTrust Record")</f>
        <v/>
      </c>
      <c r="AS310">
        <f>HYPERLINK("https://creighton-primo.hosted.exlibrisgroup.com/primo-explore/search?tab=default_tab&amp;search_scope=EVERYTHING&amp;vid=01CRU&amp;lang=en_US&amp;offset=0&amp;query=any,contains,991004750109702656","Catalog Record")</f>
        <v/>
      </c>
      <c r="AT310">
        <f>HYPERLINK("http://www.worldcat.org/oclc/4933159","WorldCat Record")</f>
        <v/>
      </c>
      <c r="AU310" t="inlineStr">
        <is>
          <t>400481:eng</t>
        </is>
      </c>
      <c r="AV310" t="inlineStr">
        <is>
          <t>4933159</t>
        </is>
      </c>
      <c r="AW310" t="inlineStr">
        <is>
          <t>991004750109702656</t>
        </is>
      </c>
      <c r="AX310" t="inlineStr">
        <is>
          <t>991004750109702656</t>
        </is>
      </c>
      <c r="AY310" t="inlineStr">
        <is>
          <t>2268938060002656</t>
        </is>
      </c>
      <c r="AZ310" t="inlineStr">
        <is>
          <t>BOOK</t>
        </is>
      </c>
      <c r="BB310" t="inlineStr">
        <is>
          <t>9780029095201</t>
        </is>
      </c>
      <c r="BC310" t="inlineStr">
        <is>
          <t>32285001064491</t>
        </is>
      </c>
      <c r="BD310" t="inlineStr">
        <is>
          <t>893229782</t>
        </is>
      </c>
    </row>
    <row r="311">
      <c r="A311" t="inlineStr">
        <is>
          <t>No</t>
        </is>
      </c>
      <c r="B311" t="inlineStr">
        <is>
          <t>HV5125 .G7</t>
        </is>
      </c>
      <c r="C311" t="inlineStr">
        <is>
          <t>0                      HV 5125000G  7</t>
        </is>
      </c>
      <c r="D311" t="inlineStr">
        <is>
          <t>Procedures and resource materials for developing a campus alcohol abuse prevention program : a tested model / Gerardo M. Gonzalez.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Gonzalez, Gerardo M.</t>
        </is>
      </c>
      <c r="L311" t="inlineStr">
        <is>
          <t>Gainesville, Fl. : University of Florida, 1978.</t>
        </is>
      </c>
      <c r="M311" t="inlineStr">
        <is>
          <t>1978</t>
        </is>
      </c>
      <c r="O311" t="inlineStr">
        <is>
          <t>eng</t>
        </is>
      </c>
      <c r="P311" t="inlineStr">
        <is>
          <t>flu</t>
        </is>
      </c>
      <c r="R311" t="inlineStr">
        <is>
          <t xml:space="preserve">HV </t>
        </is>
      </c>
      <c r="S311" t="n">
        <v>6</v>
      </c>
      <c r="T311" t="n">
        <v>6</v>
      </c>
      <c r="U311" t="inlineStr">
        <is>
          <t>1995-11-20</t>
        </is>
      </c>
      <c r="V311" t="inlineStr">
        <is>
          <t>1995-11-20</t>
        </is>
      </c>
      <c r="W311" t="inlineStr">
        <is>
          <t>1992-02-07</t>
        </is>
      </c>
      <c r="X311" t="inlineStr">
        <is>
          <t>1992-02-07</t>
        </is>
      </c>
      <c r="Y311" t="n">
        <v>7</v>
      </c>
      <c r="Z311" t="n">
        <v>6</v>
      </c>
      <c r="AA311" t="n">
        <v>6</v>
      </c>
      <c r="AB311" t="n">
        <v>1</v>
      </c>
      <c r="AC311" t="n">
        <v>1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HYPERLINK("https://creighton-primo.hosted.exlibrisgroup.com/primo-explore/search?tab=default_tab&amp;search_scope=EVERYTHING&amp;vid=01CRU&amp;lang=en_US&amp;offset=0&amp;query=any,contains,991004811069702656","Catalog Record")</f>
        <v/>
      </c>
      <c r="AT311">
        <f>HYPERLINK("http://www.worldcat.org/oclc/5277497","WorldCat Record")</f>
        <v/>
      </c>
      <c r="AU311" t="inlineStr">
        <is>
          <t>16618042:eng</t>
        </is>
      </c>
      <c r="AV311" t="inlineStr">
        <is>
          <t>5277497</t>
        </is>
      </c>
      <c r="AW311" t="inlineStr">
        <is>
          <t>991004811069702656</t>
        </is>
      </c>
      <c r="AX311" t="inlineStr">
        <is>
          <t>991004811069702656</t>
        </is>
      </c>
      <c r="AY311" t="inlineStr">
        <is>
          <t>2256823800002656</t>
        </is>
      </c>
      <c r="AZ311" t="inlineStr">
        <is>
          <t>BOOK</t>
        </is>
      </c>
      <c r="BC311" t="inlineStr">
        <is>
          <t>32285000950716</t>
        </is>
      </c>
      <c r="BD311" t="inlineStr">
        <is>
          <t>893889318</t>
        </is>
      </c>
    </row>
    <row r="312">
      <c r="A312" t="inlineStr">
        <is>
          <t>No</t>
        </is>
      </c>
      <c r="B312" t="inlineStr">
        <is>
          <t>HV5128.U5 T68 1987</t>
        </is>
      </c>
      <c r="C312" t="inlineStr">
        <is>
          <t>0                      HV 5128000U  5                  T  68          1987</t>
        </is>
      </c>
      <c r="D312" t="inlineStr">
        <is>
          <t>Student drug and alcohol abuse / by Richard L. Towers.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Towers, Richard L.</t>
        </is>
      </c>
      <c r="L312" t="inlineStr">
        <is>
          <t>Washington, D.C. : NEA Professional Library, National Education Association, c1987.</t>
        </is>
      </c>
      <c r="M312" t="inlineStr">
        <is>
          <t>1987</t>
        </is>
      </c>
      <c r="O312" t="inlineStr">
        <is>
          <t>eng</t>
        </is>
      </c>
      <c r="P312" t="inlineStr">
        <is>
          <t>dcu</t>
        </is>
      </c>
      <c r="Q312" t="inlineStr">
        <is>
          <t>How schools can help combat</t>
        </is>
      </c>
      <c r="R312" t="inlineStr">
        <is>
          <t xml:space="preserve">HV </t>
        </is>
      </c>
      <c r="S312" t="n">
        <v>38</v>
      </c>
      <c r="T312" t="n">
        <v>38</v>
      </c>
      <c r="U312" t="inlineStr">
        <is>
          <t>2010-12-01</t>
        </is>
      </c>
      <c r="V312" t="inlineStr">
        <is>
          <t>2010-12-01</t>
        </is>
      </c>
      <c r="W312" t="inlineStr">
        <is>
          <t>1992-02-07</t>
        </is>
      </c>
      <c r="X312" t="inlineStr">
        <is>
          <t>1992-02-07</t>
        </is>
      </c>
      <c r="Y312" t="n">
        <v>414</v>
      </c>
      <c r="Z312" t="n">
        <v>398</v>
      </c>
      <c r="AA312" t="n">
        <v>402</v>
      </c>
      <c r="AB312" t="n">
        <v>5</v>
      </c>
      <c r="AC312" t="n">
        <v>5</v>
      </c>
      <c r="AD312" t="n">
        <v>15</v>
      </c>
      <c r="AE312" t="n">
        <v>15</v>
      </c>
      <c r="AF312" t="n">
        <v>8</v>
      </c>
      <c r="AG312" t="n">
        <v>8</v>
      </c>
      <c r="AH312" t="n">
        <v>2</v>
      </c>
      <c r="AI312" t="n">
        <v>2</v>
      </c>
      <c r="AJ312" t="n">
        <v>6</v>
      </c>
      <c r="AK312" t="n">
        <v>6</v>
      </c>
      <c r="AL312" t="n">
        <v>4</v>
      </c>
      <c r="AM312" t="n">
        <v>4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HYPERLINK("http://catalog.hathitrust.org/Record/004505110","HathiTrust Record")</f>
        <v/>
      </c>
      <c r="AS312">
        <f>HYPERLINK("https://creighton-primo.hosted.exlibrisgroup.com/primo-explore/search?tab=default_tab&amp;search_scope=EVERYTHING&amp;vid=01CRU&amp;lang=en_US&amp;offset=0&amp;query=any,contains,991000886499702656","Catalog Record")</f>
        <v/>
      </c>
      <c r="AT312">
        <f>HYPERLINK("http://www.worldcat.org/oclc/13861389","WorldCat Record")</f>
        <v/>
      </c>
      <c r="AU312" t="inlineStr">
        <is>
          <t>1076026:eng</t>
        </is>
      </c>
      <c r="AV312" t="inlineStr">
        <is>
          <t>13861389</t>
        </is>
      </c>
      <c r="AW312" t="inlineStr">
        <is>
          <t>991000886499702656</t>
        </is>
      </c>
      <c r="AX312" t="inlineStr">
        <is>
          <t>991000886499702656</t>
        </is>
      </c>
      <c r="AY312" t="inlineStr">
        <is>
          <t>2262352390002656</t>
        </is>
      </c>
      <c r="AZ312" t="inlineStr">
        <is>
          <t>BOOK</t>
        </is>
      </c>
      <c r="BB312" t="inlineStr">
        <is>
          <t>9780810632912</t>
        </is>
      </c>
      <c r="BC312" t="inlineStr">
        <is>
          <t>32285000950708</t>
        </is>
      </c>
      <c r="BD312" t="inlineStr">
        <is>
          <t>893321445</t>
        </is>
      </c>
    </row>
    <row r="313">
      <c r="A313" t="inlineStr">
        <is>
          <t>No</t>
        </is>
      </c>
      <c r="B313" t="inlineStr">
        <is>
          <t>HV5132 .C473 1987b</t>
        </is>
      </c>
      <c r="C313" t="inlineStr">
        <is>
          <t>0                      HV 5132000C  473         1987b</t>
        </is>
      </c>
      <c r="D313" t="inlineStr">
        <is>
          <t>Children of alcoholics / guest editor, Margaret Bean-Bayog ; editor, Barry Stimmel.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New York : Haworth Press, c1987.</t>
        </is>
      </c>
      <c r="M313" t="inlineStr">
        <is>
          <t>1988</t>
        </is>
      </c>
      <c r="O313" t="inlineStr">
        <is>
          <t>eng</t>
        </is>
      </c>
      <c r="P313" t="inlineStr">
        <is>
          <t>nyu</t>
        </is>
      </c>
      <c r="R313" t="inlineStr">
        <is>
          <t xml:space="preserve">HV </t>
        </is>
      </c>
      <c r="S313" t="n">
        <v>42</v>
      </c>
      <c r="T313" t="n">
        <v>42</v>
      </c>
      <c r="U313" t="inlineStr">
        <is>
          <t>2010-02-13</t>
        </is>
      </c>
      <c r="V313" t="inlineStr">
        <is>
          <t>2010-02-13</t>
        </is>
      </c>
      <c r="W313" t="inlineStr">
        <is>
          <t>1990-02-05</t>
        </is>
      </c>
      <c r="X313" t="inlineStr">
        <is>
          <t>1990-02-05</t>
        </is>
      </c>
      <c r="Y313" t="n">
        <v>216</v>
      </c>
      <c r="Z313" t="n">
        <v>167</v>
      </c>
      <c r="AA313" t="n">
        <v>169</v>
      </c>
      <c r="AB313" t="n">
        <v>1</v>
      </c>
      <c r="AC313" t="n">
        <v>1</v>
      </c>
      <c r="AD313" t="n">
        <v>4</v>
      </c>
      <c r="AE313" t="n">
        <v>4</v>
      </c>
      <c r="AF313" t="n">
        <v>0</v>
      </c>
      <c r="AG313" t="n">
        <v>0</v>
      </c>
      <c r="AH313" t="n">
        <v>1</v>
      </c>
      <c r="AI313" t="n">
        <v>1</v>
      </c>
      <c r="AJ313" t="n">
        <v>3</v>
      </c>
      <c r="AK313" t="n">
        <v>3</v>
      </c>
      <c r="AL313" t="n">
        <v>0</v>
      </c>
      <c r="AM313" t="n">
        <v>0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HYPERLINK("https://creighton-primo.hosted.exlibrisgroup.com/primo-explore/search?tab=default_tab&amp;search_scope=EVERYTHING&amp;vid=01CRU&amp;lang=en_US&amp;offset=0&amp;query=any,contains,991001126659702656","Catalog Record")</f>
        <v/>
      </c>
      <c r="AT313">
        <f>HYPERLINK("http://www.worldcat.org/oclc/16649373","WorldCat Record")</f>
        <v/>
      </c>
      <c r="AU313" t="inlineStr">
        <is>
          <t>363806709:eng</t>
        </is>
      </c>
      <c r="AV313" t="inlineStr">
        <is>
          <t>16649373</t>
        </is>
      </c>
      <c r="AW313" t="inlineStr">
        <is>
          <t>991001126659702656</t>
        </is>
      </c>
      <c r="AX313" t="inlineStr">
        <is>
          <t>991001126659702656</t>
        </is>
      </c>
      <c r="AY313" t="inlineStr">
        <is>
          <t>2266258840002656</t>
        </is>
      </c>
      <c r="AZ313" t="inlineStr">
        <is>
          <t>BOOK</t>
        </is>
      </c>
      <c r="BB313" t="inlineStr">
        <is>
          <t>9780866566858</t>
        </is>
      </c>
      <c r="BC313" t="inlineStr">
        <is>
          <t>32285000006097</t>
        </is>
      </c>
      <c r="BD313" t="inlineStr">
        <is>
          <t>893438900</t>
        </is>
      </c>
    </row>
    <row r="314">
      <c r="A314" t="inlineStr">
        <is>
          <t>No</t>
        </is>
      </c>
      <c r="B314" t="inlineStr">
        <is>
          <t>HV5132 .C48 1983</t>
        </is>
      </c>
      <c r="C314" t="inlineStr">
        <is>
          <t>0                      HV 5132000C  48          1983</t>
        </is>
      </c>
      <c r="D314" t="inlineStr">
        <is>
          <t>Children of exceptional parents / edited by Mary Frank.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L314" t="inlineStr">
        <is>
          <t>New York : Haworth Press, c1983.</t>
        </is>
      </c>
      <c r="M314" t="inlineStr">
        <is>
          <t>1983</t>
        </is>
      </c>
      <c r="O314" t="inlineStr">
        <is>
          <t>eng</t>
        </is>
      </c>
      <c r="P314" t="inlineStr">
        <is>
          <t>nyu</t>
        </is>
      </c>
      <c r="Q314" t="inlineStr">
        <is>
          <t>The Journal of children in contemporary society ; v. 15, no. 1</t>
        </is>
      </c>
      <c r="R314" t="inlineStr">
        <is>
          <t xml:space="preserve">HV </t>
        </is>
      </c>
      <c r="S314" t="n">
        <v>26</v>
      </c>
      <c r="T314" t="n">
        <v>26</v>
      </c>
      <c r="U314" t="inlineStr">
        <is>
          <t>1998-05-06</t>
        </is>
      </c>
      <c r="V314" t="inlineStr">
        <is>
          <t>1998-05-06</t>
        </is>
      </c>
      <c r="W314" t="inlineStr">
        <is>
          <t>1990-03-19</t>
        </is>
      </c>
      <c r="X314" t="inlineStr">
        <is>
          <t>1990-03-19</t>
        </is>
      </c>
      <c r="Y314" t="n">
        <v>188</v>
      </c>
      <c r="Z314" t="n">
        <v>156</v>
      </c>
      <c r="AA314" t="n">
        <v>156</v>
      </c>
      <c r="AB314" t="n">
        <v>2</v>
      </c>
      <c r="AC314" t="n">
        <v>2</v>
      </c>
      <c r="AD314" t="n">
        <v>9</v>
      </c>
      <c r="AE314" t="n">
        <v>9</v>
      </c>
      <c r="AF314" t="n">
        <v>4</v>
      </c>
      <c r="AG314" t="n">
        <v>4</v>
      </c>
      <c r="AH314" t="n">
        <v>1</v>
      </c>
      <c r="AI314" t="n">
        <v>1</v>
      </c>
      <c r="AJ314" t="n">
        <v>4</v>
      </c>
      <c r="AK314" t="n">
        <v>4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HYPERLINK("https://creighton-primo.hosted.exlibrisgroup.com/primo-explore/search?tab=default_tab&amp;search_scope=EVERYTHING&amp;vid=01CRU&amp;lang=en_US&amp;offset=0&amp;query=any,contains,991000141109702656","Catalog Record")</f>
        <v/>
      </c>
      <c r="AT314">
        <f>HYPERLINK("http://www.worldcat.org/oclc/9155015","WorldCat Record")</f>
        <v/>
      </c>
      <c r="AU314" t="inlineStr">
        <is>
          <t>152292889:eng</t>
        </is>
      </c>
      <c r="AV314" t="inlineStr">
        <is>
          <t>9155015</t>
        </is>
      </c>
      <c r="AW314" t="inlineStr">
        <is>
          <t>991000141109702656</t>
        </is>
      </c>
      <c r="AX314" t="inlineStr">
        <is>
          <t>991000141109702656</t>
        </is>
      </c>
      <c r="AY314" t="inlineStr">
        <is>
          <t>2266213730002656</t>
        </is>
      </c>
      <c r="AZ314" t="inlineStr">
        <is>
          <t>BOOK</t>
        </is>
      </c>
      <c r="BB314" t="inlineStr">
        <is>
          <t>9780917724961</t>
        </is>
      </c>
      <c r="BC314" t="inlineStr">
        <is>
          <t>32285000086313</t>
        </is>
      </c>
      <c r="BD314" t="inlineStr">
        <is>
          <t>893527842</t>
        </is>
      </c>
    </row>
    <row r="315">
      <c r="A315" t="inlineStr">
        <is>
          <t>No</t>
        </is>
      </c>
      <c r="B315" t="inlineStr">
        <is>
          <t>HV5132 .F67 1980</t>
        </is>
      </c>
      <c r="C315" t="inlineStr">
        <is>
          <t>0                      HV 5132000F  67          1980</t>
        </is>
      </c>
      <c r="D315" t="inlineStr">
        <is>
          <t>How to live with a problem drinker and survive / Gary G. Forrest.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Forrest, Gary G.</t>
        </is>
      </c>
      <c r="L315" t="inlineStr">
        <is>
          <t>New York : Atheneum, 1980.</t>
        </is>
      </c>
      <c r="M315" t="inlineStr">
        <is>
          <t>1980</t>
        </is>
      </c>
      <c r="N315" t="inlineStr">
        <is>
          <t>1st ed.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HV </t>
        </is>
      </c>
      <c r="S315" t="n">
        <v>17</v>
      </c>
      <c r="T315" t="n">
        <v>17</v>
      </c>
      <c r="U315" t="inlineStr">
        <is>
          <t>2008-10-20</t>
        </is>
      </c>
      <c r="V315" t="inlineStr">
        <is>
          <t>2008-10-20</t>
        </is>
      </c>
      <c r="W315" t="inlineStr">
        <is>
          <t>1990-07-06</t>
        </is>
      </c>
      <c r="X315" t="inlineStr">
        <is>
          <t>1990-07-06</t>
        </is>
      </c>
      <c r="Y315" t="n">
        <v>460</v>
      </c>
      <c r="Z315" t="n">
        <v>441</v>
      </c>
      <c r="AA315" t="n">
        <v>494</v>
      </c>
      <c r="AB315" t="n">
        <v>3</v>
      </c>
      <c r="AC315" t="n">
        <v>3</v>
      </c>
      <c r="AD315" t="n">
        <v>7</v>
      </c>
      <c r="AE315" t="n">
        <v>7</v>
      </c>
      <c r="AF315" t="n">
        <v>3</v>
      </c>
      <c r="AG315" t="n">
        <v>3</v>
      </c>
      <c r="AH315" t="n">
        <v>1</v>
      </c>
      <c r="AI315" t="n">
        <v>1</v>
      </c>
      <c r="AJ315" t="n">
        <v>5</v>
      </c>
      <c r="AK315" t="n">
        <v>5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HYPERLINK("http://catalog.hathitrust.org/Record/009807142","HathiTrust Record")</f>
        <v/>
      </c>
      <c r="AS315">
        <f>HYPERLINK("https://creighton-primo.hosted.exlibrisgroup.com/primo-explore/search?tab=default_tab&amp;search_scope=EVERYTHING&amp;vid=01CRU&amp;lang=en_US&amp;offset=0&amp;query=any,contains,991004935979702656","Catalog Record")</f>
        <v/>
      </c>
      <c r="AT315">
        <f>HYPERLINK("http://www.worldcat.org/oclc/6142997","WorldCat Record")</f>
        <v/>
      </c>
      <c r="AU315" t="inlineStr">
        <is>
          <t>7555441:eng</t>
        </is>
      </c>
      <c r="AV315" t="inlineStr">
        <is>
          <t>6142997</t>
        </is>
      </c>
      <c r="AW315" t="inlineStr">
        <is>
          <t>991004935979702656</t>
        </is>
      </c>
      <c r="AX315" t="inlineStr">
        <is>
          <t>991004935979702656</t>
        </is>
      </c>
      <c r="AY315" t="inlineStr">
        <is>
          <t>2261470520002656</t>
        </is>
      </c>
      <c r="AZ315" t="inlineStr">
        <is>
          <t>BOOK</t>
        </is>
      </c>
      <c r="BB315" t="inlineStr">
        <is>
          <t>9780689110382</t>
        </is>
      </c>
      <c r="BC315" t="inlineStr">
        <is>
          <t>32285000225523</t>
        </is>
      </c>
      <c r="BD315" t="inlineStr">
        <is>
          <t>893248134</t>
        </is>
      </c>
    </row>
    <row r="316">
      <c r="A316" t="inlineStr">
        <is>
          <t>No</t>
        </is>
      </c>
      <c r="B316" t="inlineStr">
        <is>
          <t>HV5132 .G76 1986</t>
        </is>
      </c>
      <c r="C316" t="inlineStr">
        <is>
          <t>0                      HV 5132000G  76          1986</t>
        </is>
      </c>
      <c r="D316" t="inlineStr">
        <is>
          <t>Growing in the shadow : children of alcoholics / edited by Robert J. Ackerman ; with contributions by 21 leading national authorities.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L316" t="inlineStr">
        <is>
          <t>Pompano Beach, Fla. : Health Communications, c1986.</t>
        </is>
      </c>
      <c r="M316" t="inlineStr">
        <is>
          <t>1986</t>
        </is>
      </c>
      <c r="O316" t="inlineStr">
        <is>
          <t>eng</t>
        </is>
      </c>
      <c r="P316" t="inlineStr">
        <is>
          <t>flu</t>
        </is>
      </c>
      <c r="R316" t="inlineStr">
        <is>
          <t xml:space="preserve">HV </t>
        </is>
      </c>
      <c r="S316" t="n">
        <v>38</v>
      </c>
      <c r="T316" t="n">
        <v>38</v>
      </c>
      <c r="U316" t="inlineStr">
        <is>
          <t>2003-03-28</t>
        </is>
      </c>
      <c r="V316" t="inlineStr">
        <is>
          <t>2003-03-28</t>
        </is>
      </c>
      <c r="W316" t="inlineStr">
        <is>
          <t>1990-02-14</t>
        </is>
      </c>
      <c r="X316" t="inlineStr">
        <is>
          <t>1990-02-14</t>
        </is>
      </c>
      <c r="Y316" t="n">
        <v>283</v>
      </c>
      <c r="Z316" t="n">
        <v>255</v>
      </c>
      <c r="AA316" t="n">
        <v>271</v>
      </c>
      <c r="AB316" t="n">
        <v>4</v>
      </c>
      <c r="AC316" t="n">
        <v>4</v>
      </c>
      <c r="AD316" t="n">
        <v>12</v>
      </c>
      <c r="AE316" t="n">
        <v>14</v>
      </c>
      <c r="AF316" t="n">
        <v>4</v>
      </c>
      <c r="AG316" t="n">
        <v>5</v>
      </c>
      <c r="AH316" t="n">
        <v>1</v>
      </c>
      <c r="AI316" t="n">
        <v>2</v>
      </c>
      <c r="AJ316" t="n">
        <v>7</v>
      </c>
      <c r="AK316" t="n">
        <v>7</v>
      </c>
      <c r="AL316" t="n">
        <v>3</v>
      </c>
      <c r="AM316" t="n">
        <v>3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HYPERLINK("http://catalog.hathitrust.org/Record/009134856","HathiTrust Record")</f>
        <v/>
      </c>
      <c r="AS316">
        <f>HYPERLINK("https://creighton-primo.hosted.exlibrisgroup.com/primo-explore/search?tab=default_tab&amp;search_scope=EVERYTHING&amp;vid=01CRU&amp;lang=en_US&amp;offset=0&amp;query=any,contains,991000943999702656","Catalog Record")</f>
        <v/>
      </c>
      <c r="AT316">
        <f>HYPERLINK("http://www.worldcat.org/oclc/14509503","WorldCat Record")</f>
        <v/>
      </c>
      <c r="AU316" t="inlineStr">
        <is>
          <t>905848641:eng</t>
        </is>
      </c>
      <c r="AV316" t="inlineStr">
        <is>
          <t>14509503</t>
        </is>
      </c>
      <c r="AW316" t="inlineStr">
        <is>
          <t>991000943999702656</t>
        </is>
      </c>
      <c r="AX316" t="inlineStr">
        <is>
          <t>991000943999702656</t>
        </is>
      </c>
      <c r="AY316" t="inlineStr">
        <is>
          <t>2264398870002656</t>
        </is>
      </c>
      <c r="AZ316" t="inlineStr">
        <is>
          <t>BOOK</t>
        </is>
      </c>
      <c r="BB316" t="inlineStr">
        <is>
          <t>9780932194329</t>
        </is>
      </c>
      <c r="BC316" t="inlineStr">
        <is>
          <t>32285000052596</t>
        </is>
      </c>
      <c r="BD316" t="inlineStr">
        <is>
          <t>893444523</t>
        </is>
      </c>
    </row>
    <row r="317">
      <c r="A317" t="inlineStr">
        <is>
          <t>No</t>
        </is>
      </c>
      <c r="B317" t="inlineStr">
        <is>
          <t>HV5132 .L37 1987</t>
        </is>
      </c>
      <c r="C317" t="inlineStr">
        <is>
          <t>0                      HV 5132000L  37          1987</t>
        </is>
      </c>
      <c r="D317" t="inlineStr">
        <is>
          <t>Stage II relationships : love beyond addiction / Earnie Larsen.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Larsen, Earnest.</t>
        </is>
      </c>
      <c r="L317" t="inlineStr">
        <is>
          <t>San Francisco : HarperSanFrancisco, c1987.</t>
        </is>
      </c>
      <c r="M317" t="inlineStr">
        <is>
          <t>1987</t>
        </is>
      </c>
      <c r="O317" t="inlineStr">
        <is>
          <t>eng</t>
        </is>
      </c>
      <c r="P317" t="inlineStr">
        <is>
          <t>cau</t>
        </is>
      </c>
      <c r="R317" t="inlineStr">
        <is>
          <t xml:space="preserve">HV </t>
        </is>
      </c>
      <c r="S317" t="n">
        <v>4</v>
      </c>
      <c r="T317" t="n">
        <v>4</v>
      </c>
      <c r="U317" t="inlineStr">
        <is>
          <t>2008-10-20</t>
        </is>
      </c>
      <c r="V317" t="inlineStr">
        <is>
          <t>2008-10-20</t>
        </is>
      </c>
      <c r="W317" t="inlineStr">
        <is>
          <t>2002-11-19</t>
        </is>
      </c>
      <c r="X317" t="inlineStr">
        <is>
          <t>2002-11-19</t>
        </is>
      </c>
      <c r="Y317" t="n">
        <v>214</v>
      </c>
      <c r="Z317" t="n">
        <v>207</v>
      </c>
      <c r="AA317" t="n">
        <v>230</v>
      </c>
      <c r="AB317" t="n">
        <v>2</v>
      </c>
      <c r="AC317" t="n">
        <v>2</v>
      </c>
      <c r="AD317" t="n">
        <v>3</v>
      </c>
      <c r="AE317" t="n">
        <v>5</v>
      </c>
      <c r="AF317" t="n">
        <v>0</v>
      </c>
      <c r="AG317" t="n">
        <v>1</v>
      </c>
      <c r="AH317" t="n">
        <v>1</v>
      </c>
      <c r="AI317" t="n">
        <v>2</v>
      </c>
      <c r="AJ317" t="n">
        <v>3</v>
      </c>
      <c r="AK317" t="n">
        <v>3</v>
      </c>
      <c r="AL317" t="n">
        <v>0</v>
      </c>
      <c r="AM317" t="n">
        <v>0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HYPERLINK("https://creighton-primo.hosted.exlibrisgroup.com/primo-explore/search?tab=default_tab&amp;search_scope=EVERYTHING&amp;vid=01CRU&amp;lang=en_US&amp;offset=0&amp;query=any,contains,991003933739702656","Catalog Record")</f>
        <v/>
      </c>
      <c r="AT317">
        <f>HYPERLINK("http://www.worldcat.org/oclc/15018314","WorldCat Record")</f>
        <v/>
      </c>
      <c r="AU317" t="inlineStr">
        <is>
          <t>8599341:eng</t>
        </is>
      </c>
      <c r="AV317" t="inlineStr">
        <is>
          <t>15018314</t>
        </is>
      </c>
      <c r="AW317" t="inlineStr">
        <is>
          <t>991003933739702656</t>
        </is>
      </c>
      <c r="AX317" t="inlineStr">
        <is>
          <t>991003933739702656</t>
        </is>
      </c>
      <c r="AY317" t="inlineStr">
        <is>
          <t>2265520880002656</t>
        </is>
      </c>
      <c r="AZ317" t="inlineStr">
        <is>
          <t>BOOK</t>
        </is>
      </c>
      <c r="BB317" t="inlineStr">
        <is>
          <t>9780062548085</t>
        </is>
      </c>
      <c r="BC317" t="inlineStr">
        <is>
          <t>32285004664560</t>
        </is>
      </c>
      <c r="BD317" t="inlineStr">
        <is>
          <t>893525441</t>
        </is>
      </c>
    </row>
    <row r="318">
      <c r="A318" t="inlineStr">
        <is>
          <t>No</t>
        </is>
      </c>
      <c r="B318" t="inlineStr">
        <is>
          <t>HV5132 .R67 1985</t>
        </is>
      </c>
      <c r="C318" t="inlineStr">
        <is>
          <t>0                      HV 5132000R  67          1985</t>
        </is>
      </c>
      <c r="D318" t="inlineStr">
        <is>
          <t>Of course you're angry / by Gayle Rosellini and Mark Worden.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Rosellini, Gayle.</t>
        </is>
      </c>
      <c r="L318" t="inlineStr">
        <is>
          <t>San Francisco : Harper/Hazelden, 1985.</t>
        </is>
      </c>
      <c r="M318" t="inlineStr">
        <is>
          <t>1985</t>
        </is>
      </c>
      <c r="O318" t="inlineStr">
        <is>
          <t>eng</t>
        </is>
      </c>
      <c r="P318" t="inlineStr">
        <is>
          <t>cau</t>
        </is>
      </c>
      <c r="R318" t="inlineStr">
        <is>
          <t xml:space="preserve">HV </t>
        </is>
      </c>
      <c r="S318" t="n">
        <v>11</v>
      </c>
      <c r="T318" t="n">
        <v>11</v>
      </c>
      <c r="U318" t="inlineStr">
        <is>
          <t>2008-10-20</t>
        </is>
      </c>
      <c r="V318" t="inlineStr">
        <is>
          <t>2008-10-20</t>
        </is>
      </c>
      <c r="W318" t="inlineStr">
        <is>
          <t>1994-06-02</t>
        </is>
      </c>
      <c r="X318" t="inlineStr">
        <is>
          <t>1994-06-02</t>
        </is>
      </c>
      <c r="Y318" t="n">
        <v>303</v>
      </c>
      <c r="Z318" t="n">
        <v>287</v>
      </c>
      <c r="AA318" t="n">
        <v>306</v>
      </c>
      <c r="AB318" t="n">
        <v>3</v>
      </c>
      <c r="AC318" t="n">
        <v>3</v>
      </c>
      <c r="AD318" t="n">
        <v>6</v>
      </c>
      <c r="AE318" t="n">
        <v>6</v>
      </c>
      <c r="AF318" t="n">
        <v>3</v>
      </c>
      <c r="AG318" t="n">
        <v>3</v>
      </c>
      <c r="AH318" t="n">
        <v>2</v>
      </c>
      <c r="AI318" t="n">
        <v>2</v>
      </c>
      <c r="AJ318" t="n">
        <v>5</v>
      </c>
      <c r="AK318" t="n">
        <v>5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HYPERLINK("https://creighton-primo.hosted.exlibrisgroup.com/primo-explore/search?tab=default_tab&amp;search_scope=EVERYTHING&amp;vid=01CRU&amp;lang=en_US&amp;offset=0&amp;query=any,contains,991001098759702656","Catalog Record")</f>
        <v/>
      </c>
      <c r="AT318">
        <f>HYPERLINK("http://www.worldcat.org/oclc/16278192","WorldCat Record")</f>
        <v/>
      </c>
      <c r="AU318" t="inlineStr">
        <is>
          <t>9738118682:eng</t>
        </is>
      </c>
      <c r="AV318" t="inlineStr">
        <is>
          <t>16278192</t>
        </is>
      </c>
      <c r="AW318" t="inlineStr">
        <is>
          <t>991001098759702656</t>
        </is>
      </c>
      <c r="AX318" t="inlineStr">
        <is>
          <t>991001098759702656</t>
        </is>
      </c>
      <c r="AY318" t="inlineStr">
        <is>
          <t>2263583180002656</t>
        </is>
      </c>
      <c r="AZ318" t="inlineStr">
        <is>
          <t>BOOK</t>
        </is>
      </c>
      <c r="BB318" t="inlineStr">
        <is>
          <t>9780894863332</t>
        </is>
      </c>
      <c r="BC318" t="inlineStr">
        <is>
          <t>32285001915502</t>
        </is>
      </c>
      <c r="BD318" t="inlineStr">
        <is>
          <t>893772307</t>
        </is>
      </c>
    </row>
    <row r="319">
      <c r="A319" t="inlineStr">
        <is>
          <t>No</t>
        </is>
      </c>
      <c r="B319" t="inlineStr">
        <is>
          <t>HV5182 .R43 1989</t>
        </is>
      </c>
      <c r="C319" t="inlineStr">
        <is>
          <t>0                      HV 5182000R  43          1989</t>
        </is>
      </c>
      <c r="D319" t="inlineStr">
        <is>
          <t>The Biblical approach to alcohol / by Stephen M. Reynolds.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Reynolds, Stephen M.</t>
        </is>
      </c>
      <c r="L319" t="inlineStr">
        <is>
          <t>Princeton, NJ : Princeton University Press, [1989?]</t>
        </is>
      </c>
      <c r="M319" t="inlineStr">
        <is>
          <t>1989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HV </t>
        </is>
      </c>
      <c r="S319" t="n">
        <v>2</v>
      </c>
      <c r="T319" t="n">
        <v>2</v>
      </c>
      <c r="U319" t="inlineStr">
        <is>
          <t>2008-10-20</t>
        </is>
      </c>
      <c r="V319" t="inlineStr">
        <is>
          <t>2008-10-20</t>
        </is>
      </c>
      <c r="W319" t="inlineStr">
        <is>
          <t>2002-06-18</t>
        </is>
      </c>
      <c r="X319" t="inlineStr">
        <is>
          <t>2002-06-18</t>
        </is>
      </c>
      <c r="Y319" t="n">
        <v>73</v>
      </c>
      <c r="Z319" t="n">
        <v>71</v>
      </c>
      <c r="AA319" t="n">
        <v>164</v>
      </c>
      <c r="AB319" t="n">
        <v>1</v>
      </c>
      <c r="AC319" t="n">
        <v>1</v>
      </c>
      <c r="AD319" t="n">
        <v>2</v>
      </c>
      <c r="AE319" t="n">
        <v>6</v>
      </c>
      <c r="AF319" t="n">
        <v>1</v>
      </c>
      <c r="AG319" t="n">
        <v>1</v>
      </c>
      <c r="AH319" t="n">
        <v>0</v>
      </c>
      <c r="AI319" t="n">
        <v>2</v>
      </c>
      <c r="AJ319" t="n">
        <v>1</v>
      </c>
      <c r="AK319" t="n">
        <v>3</v>
      </c>
      <c r="AL319" t="n">
        <v>0</v>
      </c>
      <c r="AM319" t="n">
        <v>0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HYPERLINK("https://creighton-primo.hosted.exlibrisgroup.com/primo-explore/search?tab=default_tab&amp;search_scope=EVERYTHING&amp;vid=01CRU&amp;lang=en_US&amp;offset=0&amp;query=any,contains,991003828059702656","Catalog Record")</f>
        <v/>
      </c>
      <c r="AT319">
        <f>HYPERLINK("http://www.worldcat.org/oclc/21728723","WorldCat Record")</f>
        <v/>
      </c>
      <c r="AU319" t="inlineStr">
        <is>
          <t>6058268:eng</t>
        </is>
      </c>
      <c r="AV319" t="inlineStr">
        <is>
          <t>21728723</t>
        </is>
      </c>
      <c r="AW319" t="inlineStr">
        <is>
          <t>991003828059702656</t>
        </is>
      </c>
      <c r="AX319" t="inlineStr">
        <is>
          <t>991003828059702656</t>
        </is>
      </c>
      <c r="AY319" t="inlineStr">
        <is>
          <t>2259463130002656</t>
        </is>
      </c>
      <c r="AZ319" t="inlineStr">
        <is>
          <t>BOOK</t>
        </is>
      </c>
      <c r="BC319" t="inlineStr">
        <is>
          <t>32285004494968</t>
        </is>
      </c>
      <c r="BD319" t="inlineStr">
        <is>
          <t>893794103</t>
        </is>
      </c>
    </row>
    <row r="320">
      <c r="A320" t="inlineStr">
        <is>
          <t>No</t>
        </is>
      </c>
      <c r="B320" t="inlineStr">
        <is>
          <t>HV5232.N3 G73 2001</t>
        </is>
      </c>
      <c r="C320" t="inlineStr">
        <is>
          <t>0                      HV 5232000N  3                  G  73          2001</t>
        </is>
      </c>
      <c r="D320" t="inlineStr">
        <is>
          <t>Carry A. Nation : retelling the life / Fran Grace.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Grace, Fran.</t>
        </is>
      </c>
      <c r="L320" t="inlineStr">
        <is>
          <t>Bloomington : Indiana University Press, c2001.</t>
        </is>
      </c>
      <c r="M320" t="inlineStr">
        <is>
          <t>2001</t>
        </is>
      </c>
      <c r="O320" t="inlineStr">
        <is>
          <t>eng</t>
        </is>
      </c>
      <c r="P320" t="inlineStr">
        <is>
          <t>inu</t>
        </is>
      </c>
      <c r="Q320" t="inlineStr">
        <is>
          <t>Religion in North America ; v. 29</t>
        </is>
      </c>
      <c r="R320" t="inlineStr">
        <is>
          <t xml:space="preserve">HV </t>
        </is>
      </c>
      <c r="S320" t="n">
        <v>1</v>
      </c>
      <c r="T320" t="n">
        <v>1</v>
      </c>
      <c r="U320" t="inlineStr">
        <is>
          <t>2001-10-01</t>
        </is>
      </c>
      <c r="V320" t="inlineStr">
        <is>
          <t>2001-10-01</t>
        </is>
      </c>
      <c r="W320" t="inlineStr">
        <is>
          <t>2001-10-01</t>
        </is>
      </c>
      <c r="X320" t="inlineStr">
        <is>
          <t>2001-10-01</t>
        </is>
      </c>
      <c r="Y320" t="n">
        <v>1021</v>
      </c>
      <c r="Z320" t="n">
        <v>990</v>
      </c>
      <c r="AA320" t="n">
        <v>1044</v>
      </c>
      <c r="AB320" t="n">
        <v>7</v>
      </c>
      <c r="AC320" t="n">
        <v>8</v>
      </c>
      <c r="AD320" t="n">
        <v>35</v>
      </c>
      <c r="AE320" t="n">
        <v>36</v>
      </c>
      <c r="AF320" t="n">
        <v>16</v>
      </c>
      <c r="AG320" t="n">
        <v>16</v>
      </c>
      <c r="AH320" t="n">
        <v>9</v>
      </c>
      <c r="AI320" t="n">
        <v>9</v>
      </c>
      <c r="AJ320" t="n">
        <v>17</v>
      </c>
      <c r="AK320" t="n">
        <v>17</v>
      </c>
      <c r="AL320" t="n">
        <v>4</v>
      </c>
      <c r="AM320" t="n">
        <v>5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HYPERLINK("https://creighton-primo.hosted.exlibrisgroup.com/primo-explore/search?tab=default_tab&amp;search_scope=EVERYTHING&amp;vid=01CRU&amp;lang=en_US&amp;offset=0&amp;query=any,contains,991003610589702656","Catalog Record")</f>
        <v/>
      </c>
      <c r="AT320">
        <f>HYPERLINK("http://www.worldcat.org/oclc/44868996","WorldCat Record")</f>
        <v/>
      </c>
      <c r="AU320" t="inlineStr">
        <is>
          <t>1956633:eng</t>
        </is>
      </c>
      <c r="AV320" t="inlineStr">
        <is>
          <t>44868996</t>
        </is>
      </c>
      <c r="AW320" t="inlineStr">
        <is>
          <t>991003610589702656</t>
        </is>
      </c>
      <c r="AX320" t="inlineStr">
        <is>
          <t>991003610589702656</t>
        </is>
      </c>
      <c r="AY320" t="inlineStr">
        <is>
          <t>2258537460002656</t>
        </is>
      </c>
      <c r="AZ320" t="inlineStr">
        <is>
          <t>BOOK</t>
        </is>
      </c>
      <c r="BB320" t="inlineStr">
        <is>
          <t>9780253338464</t>
        </is>
      </c>
      <c r="BC320" t="inlineStr">
        <is>
          <t>32285004393160</t>
        </is>
      </c>
      <c r="BD320" t="inlineStr">
        <is>
          <t>893868622</t>
        </is>
      </c>
    </row>
    <row r="321">
      <c r="A321" t="inlineStr">
        <is>
          <t>No</t>
        </is>
      </c>
      <c r="B321" t="inlineStr">
        <is>
          <t>HV525 .G72 1998</t>
        </is>
      </c>
      <c r="C321" t="inlineStr">
        <is>
          <t>0                      HV 0525000G  72          1998</t>
        </is>
      </c>
      <c r="D321" t="inlineStr">
        <is>
          <t>Private markets for public goods : raising the stakes in economic reform / Carol Graham.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Graham, Carol, 1962-</t>
        </is>
      </c>
      <c r="L321" t="inlineStr">
        <is>
          <t>Washington, D.C. : Brookings Institution Press, c1998.</t>
        </is>
      </c>
      <c r="M321" t="inlineStr">
        <is>
          <t>1998</t>
        </is>
      </c>
      <c r="O321" t="inlineStr">
        <is>
          <t>eng</t>
        </is>
      </c>
      <c r="P321" t="inlineStr">
        <is>
          <t>dcu</t>
        </is>
      </c>
      <c r="R321" t="inlineStr">
        <is>
          <t xml:space="preserve">HV </t>
        </is>
      </c>
      <c r="S321" t="n">
        <v>5</v>
      </c>
      <c r="T321" t="n">
        <v>5</v>
      </c>
      <c r="U321" t="inlineStr">
        <is>
          <t>2000-05-03</t>
        </is>
      </c>
      <c r="V321" t="inlineStr">
        <is>
          <t>2000-05-03</t>
        </is>
      </c>
      <c r="W321" t="inlineStr">
        <is>
          <t>1998-07-20</t>
        </is>
      </c>
      <c r="X321" t="inlineStr">
        <is>
          <t>1998-07-20</t>
        </is>
      </c>
      <c r="Y321" t="n">
        <v>444</v>
      </c>
      <c r="Z321" t="n">
        <v>377</v>
      </c>
      <c r="AA321" t="n">
        <v>827</v>
      </c>
      <c r="AB321" t="n">
        <v>5</v>
      </c>
      <c r="AC321" t="n">
        <v>8</v>
      </c>
      <c r="AD321" t="n">
        <v>23</v>
      </c>
      <c r="AE321" t="n">
        <v>29</v>
      </c>
      <c r="AF321" t="n">
        <v>7</v>
      </c>
      <c r="AG321" t="n">
        <v>10</v>
      </c>
      <c r="AH321" t="n">
        <v>8</v>
      </c>
      <c r="AI321" t="n">
        <v>8</v>
      </c>
      <c r="AJ321" t="n">
        <v>10</v>
      </c>
      <c r="AK321" t="n">
        <v>10</v>
      </c>
      <c r="AL321" t="n">
        <v>4</v>
      </c>
      <c r="AM321" t="n">
        <v>7</v>
      </c>
      <c r="AN321" t="n">
        <v>1</v>
      </c>
      <c r="AO321" t="n">
        <v>1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HYPERLINK("http://catalog.hathitrust.org/Record/004013310","HathiTrust Record")</f>
        <v/>
      </c>
      <c r="AS321">
        <f>HYPERLINK("https://creighton-primo.hosted.exlibrisgroup.com/primo-explore/search?tab=default_tab&amp;search_scope=EVERYTHING&amp;vid=01CRU&amp;lang=en_US&amp;offset=0&amp;query=any,contains,991002936089702656","Catalog Record")</f>
        <v/>
      </c>
      <c r="AT321">
        <f>HYPERLINK("http://www.worldcat.org/oclc/39051835","WorldCat Record")</f>
        <v/>
      </c>
      <c r="AU321" t="inlineStr">
        <is>
          <t>800003716:eng</t>
        </is>
      </c>
      <c r="AV321" t="inlineStr">
        <is>
          <t>39051835</t>
        </is>
      </c>
      <c r="AW321" t="inlineStr">
        <is>
          <t>991002936089702656</t>
        </is>
      </c>
      <c r="AX321" t="inlineStr">
        <is>
          <t>991002936089702656</t>
        </is>
      </c>
      <c r="AY321" t="inlineStr">
        <is>
          <t>2255154590002656</t>
        </is>
      </c>
      <c r="AZ321" t="inlineStr">
        <is>
          <t>BOOK</t>
        </is>
      </c>
      <c r="BB321" t="inlineStr">
        <is>
          <t>9780815710257</t>
        </is>
      </c>
      <c r="BC321" t="inlineStr">
        <is>
          <t>32285003433108</t>
        </is>
      </c>
      <c r="BD321" t="inlineStr">
        <is>
          <t>893780417</t>
        </is>
      </c>
    </row>
    <row r="322">
      <c r="A322" t="inlineStr">
        <is>
          <t>No</t>
        </is>
      </c>
      <c r="B322" t="inlineStr">
        <is>
          <t>HV525 .G73 1994</t>
        </is>
      </c>
      <c r="C322" t="inlineStr">
        <is>
          <t>0                      HV 0525000G  73          1994</t>
        </is>
      </c>
      <c r="D322" t="inlineStr">
        <is>
          <t>Safety nets, politics, and the poor : transitions to market economies / Carol Graham.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Graham, Carol, 1962-</t>
        </is>
      </c>
      <c r="L322" t="inlineStr">
        <is>
          <t>Washington, D.C. : Brookings Institution, c1994.</t>
        </is>
      </c>
      <c r="M322" t="inlineStr">
        <is>
          <t>1994</t>
        </is>
      </c>
      <c r="O322" t="inlineStr">
        <is>
          <t>eng</t>
        </is>
      </c>
      <c r="P322" t="inlineStr">
        <is>
          <t>dcu</t>
        </is>
      </c>
      <c r="R322" t="inlineStr">
        <is>
          <t xml:space="preserve">HV </t>
        </is>
      </c>
      <c r="S322" t="n">
        <v>1</v>
      </c>
      <c r="T322" t="n">
        <v>1</v>
      </c>
      <c r="U322" t="inlineStr">
        <is>
          <t>2005-11-14</t>
        </is>
      </c>
      <c r="V322" t="inlineStr">
        <is>
          <t>2005-11-14</t>
        </is>
      </c>
      <c r="W322" t="inlineStr">
        <is>
          <t>1994-11-17</t>
        </is>
      </c>
      <c r="X322" t="inlineStr">
        <is>
          <t>1994-11-17</t>
        </is>
      </c>
      <c r="Y322" t="n">
        <v>658</v>
      </c>
      <c r="Z322" t="n">
        <v>540</v>
      </c>
      <c r="AA322" t="n">
        <v>540</v>
      </c>
      <c r="AB322" t="n">
        <v>6</v>
      </c>
      <c r="AC322" t="n">
        <v>6</v>
      </c>
      <c r="AD322" t="n">
        <v>28</v>
      </c>
      <c r="AE322" t="n">
        <v>28</v>
      </c>
      <c r="AF322" t="n">
        <v>11</v>
      </c>
      <c r="AG322" t="n">
        <v>11</v>
      </c>
      <c r="AH322" t="n">
        <v>6</v>
      </c>
      <c r="AI322" t="n">
        <v>6</v>
      </c>
      <c r="AJ322" t="n">
        <v>15</v>
      </c>
      <c r="AK322" t="n">
        <v>15</v>
      </c>
      <c r="AL322" t="n">
        <v>5</v>
      </c>
      <c r="AM322" t="n">
        <v>5</v>
      </c>
      <c r="AN322" t="n">
        <v>1</v>
      </c>
      <c r="AO322" t="n">
        <v>1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HYPERLINK("https://creighton-primo.hosted.exlibrisgroup.com/primo-explore/search?tab=default_tab&amp;search_scope=EVERYTHING&amp;vid=01CRU&amp;lang=en_US&amp;offset=0&amp;query=any,contains,991002291939702656","Catalog Record")</f>
        <v/>
      </c>
      <c r="AT322">
        <f>HYPERLINK("http://www.worldcat.org/oclc/29703252","WorldCat Record")</f>
        <v/>
      </c>
      <c r="AU322" t="inlineStr">
        <is>
          <t>889890769:eng</t>
        </is>
      </c>
      <c r="AV322" t="inlineStr">
        <is>
          <t>29703252</t>
        </is>
      </c>
      <c r="AW322" t="inlineStr">
        <is>
          <t>991002291939702656</t>
        </is>
      </c>
      <c r="AX322" t="inlineStr">
        <is>
          <t>991002291939702656</t>
        </is>
      </c>
      <c r="AY322" t="inlineStr">
        <is>
          <t>2261716530002656</t>
        </is>
      </c>
      <c r="AZ322" t="inlineStr">
        <is>
          <t>BOOK</t>
        </is>
      </c>
      <c r="BB322" t="inlineStr">
        <is>
          <t>9780815732280</t>
        </is>
      </c>
      <c r="BC322" t="inlineStr">
        <is>
          <t>32285001971174</t>
        </is>
      </c>
      <c r="BD322" t="inlineStr">
        <is>
          <t>893352241</t>
        </is>
      </c>
    </row>
    <row r="323">
      <c r="A323" t="inlineStr">
        <is>
          <t>No</t>
        </is>
      </c>
      <c r="B323" t="inlineStr">
        <is>
          <t>HV525 .S54 2001</t>
        </is>
      </c>
      <c r="C323" t="inlineStr">
        <is>
          <t>0                      HV 0525000S  54          2001</t>
        </is>
      </c>
      <c r="D323" t="inlineStr">
        <is>
          <t>Shielding the poor : social protection in the developing world / Nora Lustig, editor.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Washington, D.C. : Brookings Institution Press : Inter-American Development Bank, 2001.</t>
        </is>
      </c>
      <c r="M323" t="inlineStr">
        <is>
          <t>2001</t>
        </is>
      </c>
      <c r="O323" t="inlineStr">
        <is>
          <t>eng</t>
        </is>
      </c>
      <c r="P323" t="inlineStr">
        <is>
          <t>dcu</t>
        </is>
      </c>
      <c r="R323" t="inlineStr">
        <is>
          <t xml:space="preserve">HV </t>
        </is>
      </c>
      <c r="S323" t="n">
        <v>5</v>
      </c>
      <c r="T323" t="n">
        <v>5</v>
      </c>
      <c r="U323" t="inlineStr">
        <is>
          <t>2005-10-05</t>
        </is>
      </c>
      <c r="V323" t="inlineStr">
        <is>
          <t>2005-10-05</t>
        </is>
      </c>
      <c r="W323" t="inlineStr">
        <is>
          <t>2001-03-28</t>
        </is>
      </c>
      <c r="X323" t="inlineStr">
        <is>
          <t>2001-03-28</t>
        </is>
      </c>
      <c r="Y323" t="n">
        <v>417</v>
      </c>
      <c r="Z323" t="n">
        <v>351</v>
      </c>
      <c r="AA323" t="n">
        <v>540</v>
      </c>
      <c r="AB323" t="n">
        <v>3</v>
      </c>
      <c r="AC323" t="n">
        <v>3</v>
      </c>
      <c r="AD323" t="n">
        <v>18</v>
      </c>
      <c r="AE323" t="n">
        <v>30</v>
      </c>
      <c r="AF323" t="n">
        <v>6</v>
      </c>
      <c r="AG323" t="n">
        <v>13</v>
      </c>
      <c r="AH323" t="n">
        <v>5</v>
      </c>
      <c r="AI323" t="n">
        <v>8</v>
      </c>
      <c r="AJ323" t="n">
        <v>10</v>
      </c>
      <c r="AK323" t="n">
        <v>15</v>
      </c>
      <c r="AL323" t="n">
        <v>2</v>
      </c>
      <c r="AM323" t="n">
        <v>2</v>
      </c>
      <c r="AN323" t="n">
        <v>2</v>
      </c>
      <c r="AO323" t="n">
        <v>2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HYPERLINK("http://catalog.hathitrust.org/Record/004144055","HathiTrust Record")</f>
        <v/>
      </c>
      <c r="AS323">
        <f>HYPERLINK("https://creighton-primo.hosted.exlibrisgroup.com/primo-explore/search?tab=default_tab&amp;search_scope=EVERYTHING&amp;vid=01CRU&amp;lang=en_US&amp;offset=0&amp;query=any,contains,991003517809702656","Catalog Record")</f>
        <v/>
      </c>
      <c r="AT323">
        <f>HYPERLINK("http://www.worldcat.org/oclc/44634240","WorldCat Record")</f>
        <v/>
      </c>
      <c r="AU323" t="inlineStr">
        <is>
          <t>837045578:eng</t>
        </is>
      </c>
      <c r="AV323" t="inlineStr">
        <is>
          <t>44634240</t>
        </is>
      </c>
      <c r="AW323" t="inlineStr">
        <is>
          <t>991003517809702656</t>
        </is>
      </c>
      <c r="AX323" t="inlineStr">
        <is>
          <t>991003517809702656</t>
        </is>
      </c>
      <c r="AY323" t="inlineStr">
        <is>
          <t>2257224500002656</t>
        </is>
      </c>
      <c r="AZ323" t="inlineStr">
        <is>
          <t>BOOK</t>
        </is>
      </c>
      <c r="BB323" t="inlineStr">
        <is>
          <t>9780815753216</t>
        </is>
      </c>
      <c r="BC323" t="inlineStr">
        <is>
          <t>32285004308382</t>
        </is>
      </c>
      <c r="BD323" t="inlineStr">
        <is>
          <t>893617419</t>
        </is>
      </c>
    </row>
    <row r="324">
      <c r="A324" t="inlineStr">
        <is>
          <t>No</t>
        </is>
      </c>
      <c r="B324" t="inlineStr">
        <is>
          <t>HV5275 .S35</t>
        </is>
      </c>
      <c r="C324" t="inlineStr">
        <is>
          <t>0                      HV 5275000S  35</t>
        </is>
      </c>
      <c r="D324" t="inlineStr">
        <is>
          <t>Social class and the treatment of alcoholism : an investigation of social class as a determinant of diagnosis, prognosis, and therapy / [by] Wolfgang Schmidt, Reginald G. Smart [and] Marcia K. Moss.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Schmidt, Wolfgang, 1923-</t>
        </is>
      </c>
      <c r="L324" t="inlineStr">
        <is>
          <t>[Toronto] : Published for the Addiction Research Foundation by University of Toronto P., [1968]</t>
        </is>
      </c>
      <c r="M324" t="inlineStr">
        <is>
          <t>1968</t>
        </is>
      </c>
      <c r="O324" t="inlineStr">
        <is>
          <t>eng</t>
        </is>
      </c>
      <c r="P324" t="inlineStr">
        <is>
          <t>onc</t>
        </is>
      </c>
      <c r="Q324" t="inlineStr">
        <is>
          <t>Brookside monographs ; no. 7</t>
        </is>
      </c>
      <c r="R324" t="inlineStr">
        <is>
          <t xml:space="preserve">HV </t>
        </is>
      </c>
      <c r="S324" t="n">
        <v>7</v>
      </c>
      <c r="T324" t="n">
        <v>7</v>
      </c>
      <c r="U324" t="inlineStr">
        <is>
          <t>2000-09-13</t>
        </is>
      </c>
      <c r="V324" t="inlineStr">
        <is>
          <t>2000-09-13</t>
        </is>
      </c>
      <c r="W324" t="inlineStr">
        <is>
          <t>1990-11-19</t>
        </is>
      </c>
      <c r="X324" t="inlineStr">
        <is>
          <t>1990-11-19</t>
        </is>
      </c>
      <c r="Y324" t="n">
        <v>395</v>
      </c>
      <c r="Z324" t="n">
        <v>321</v>
      </c>
      <c r="AA324" t="n">
        <v>380</v>
      </c>
      <c r="AB324" t="n">
        <v>3</v>
      </c>
      <c r="AC324" t="n">
        <v>3</v>
      </c>
      <c r="AD324" t="n">
        <v>18</v>
      </c>
      <c r="AE324" t="n">
        <v>23</v>
      </c>
      <c r="AF324" t="n">
        <v>8</v>
      </c>
      <c r="AG324" t="n">
        <v>12</v>
      </c>
      <c r="AH324" t="n">
        <v>4</v>
      </c>
      <c r="AI324" t="n">
        <v>5</v>
      </c>
      <c r="AJ324" t="n">
        <v>9</v>
      </c>
      <c r="AK324" t="n">
        <v>10</v>
      </c>
      <c r="AL324" t="n">
        <v>2</v>
      </c>
      <c r="AM324" t="n">
        <v>2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HYPERLINK("http://catalog.hathitrust.org/Record/001133584","HathiTrust Record")</f>
        <v/>
      </c>
      <c r="AS324">
        <f>HYPERLINK("https://creighton-primo.hosted.exlibrisgroup.com/primo-explore/search?tab=default_tab&amp;search_scope=EVERYTHING&amp;vid=01CRU&amp;lang=en_US&amp;offset=0&amp;query=any,contains,991002080389702656","Catalog Record")</f>
        <v/>
      </c>
      <c r="AT324">
        <f>HYPERLINK("http://www.worldcat.org/oclc/264414","WorldCat Record")</f>
        <v/>
      </c>
      <c r="AU324" t="inlineStr">
        <is>
          <t>422712796:eng</t>
        </is>
      </c>
      <c r="AV324" t="inlineStr">
        <is>
          <t>264414</t>
        </is>
      </c>
      <c r="AW324" t="inlineStr">
        <is>
          <t>991002080389702656</t>
        </is>
      </c>
      <c r="AX324" t="inlineStr">
        <is>
          <t>991002080389702656</t>
        </is>
      </c>
      <c r="AY324" t="inlineStr">
        <is>
          <t>2268296450002656</t>
        </is>
      </c>
      <c r="AZ324" t="inlineStr">
        <is>
          <t>BOOK</t>
        </is>
      </c>
      <c r="BC324" t="inlineStr">
        <is>
          <t>32285000397488</t>
        </is>
      </c>
      <c r="BD324" t="inlineStr">
        <is>
          <t>893256851</t>
        </is>
      </c>
    </row>
    <row r="325">
      <c r="A325" t="inlineStr">
        <is>
          <t>No</t>
        </is>
      </c>
      <c r="B325" t="inlineStr">
        <is>
          <t>HV5275 .S55 2008</t>
        </is>
      </c>
      <c r="C325" t="inlineStr">
        <is>
          <t>0                      HV 5275000S  55          2008</t>
        </is>
      </c>
      <c r="D325" t="inlineStr">
        <is>
          <t>Get up : a 12-step guide to recovery for misfits, freaks, &amp; weirdos / Bucky Sinister.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Sinister, Bucky, 1969-</t>
        </is>
      </c>
      <c r="L325" t="inlineStr">
        <is>
          <t>San Francisco, CA : Conari Press, c2008.</t>
        </is>
      </c>
      <c r="M325" t="inlineStr">
        <is>
          <t>2008</t>
        </is>
      </c>
      <c r="O325" t="inlineStr">
        <is>
          <t>eng</t>
        </is>
      </c>
      <c r="P325" t="inlineStr">
        <is>
          <t>cau</t>
        </is>
      </c>
      <c r="R325" t="inlineStr">
        <is>
          <t xml:space="preserve">HV </t>
        </is>
      </c>
      <c r="S325" t="n">
        <v>2</v>
      </c>
      <c r="T325" t="n">
        <v>2</v>
      </c>
      <c r="U325" t="inlineStr">
        <is>
          <t>2008-11-17</t>
        </is>
      </c>
      <c r="V325" t="inlineStr">
        <is>
          <t>2008-11-17</t>
        </is>
      </c>
      <c r="W325" t="inlineStr">
        <is>
          <t>2008-11-17</t>
        </is>
      </c>
      <c r="X325" t="inlineStr">
        <is>
          <t>2008-11-17</t>
        </is>
      </c>
      <c r="Y325" t="n">
        <v>311</v>
      </c>
      <c r="Z325" t="n">
        <v>299</v>
      </c>
      <c r="AA325" t="n">
        <v>335</v>
      </c>
      <c r="AB325" t="n">
        <v>4</v>
      </c>
      <c r="AC325" t="n">
        <v>4</v>
      </c>
      <c r="AD325" t="n">
        <v>2</v>
      </c>
      <c r="AE325" t="n">
        <v>2</v>
      </c>
      <c r="AF325" t="n">
        <v>1</v>
      </c>
      <c r="AG325" t="n">
        <v>1</v>
      </c>
      <c r="AH325" t="n">
        <v>1</v>
      </c>
      <c r="AI325" t="n">
        <v>1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HYPERLINK("https://creighton-primo.hosted.exlibrisgroup.com/primo-explore/search?tab=default_tab&amp;search_scope=EVERYTHING&amp;vid=01CRU&amp;lang=en_US&amp;offset=0&amp;query=any,contains,991005273649702656","Catalog Record")</f>
        <v/>
      </c>
      <c r="AT325">
        <f>HYPERLINK("http://www.worldcat.org/oclc/213856842","WorldCat Record")</f>
        <v/>
      </c>
      <c r="AU325" t="inlineStr">
        <is>
          <t>287170537:eng</t>
        </is>
      </c>
      <c r="AV325" t="inlineStr">
        <is>
          <t>213856842</t>
        </is>
      </c>
      <c r="AW325" t="inlineStr">
        <is>
          <t>991005273649702656</t>
        </is>
      </c>
      <c r="AX325" t="inlineStr">
        <is>
          <t>991005273649702656</t>
        </is>
      </c>
      <c r="AY325" t="inlineStr">
        <is>
          <t>2266216200002656</t>
        </is>
      </c>
      <c r="AZ325" t="inlineStr">
        <is>
          <t>BOOK</t>
        </is>
      </c>
      <c r="BB325" t="inlineStr">
        <is>
          <t>9781573243667</t>
        </is>
      </c>
      <c r="BC325" t="inlineStr">
        <is>
          <t>32285005466395</t>
        </is>
      </c>
      <c r="BD325" t="inlineStr">
        <is>
          <t>893332694</t>
        </is>
      </c>
    </row>
    <row r="326">
      <c r="A326" t="inlineStr">
        <is>
          <t>No</t>
        </is>
      </c>
      <c r="B326" t="inlineStr">
        <is>
          <t>HV5275 .S665 2006</t>
        </is>
      </c>
      <c r="C326" t="inlineStr">
        <is>
          <t>0                      HV 5275000S  665         2006</t>
        </is>
      </c>
      <c r="D326" t="inlineStr">
        <is>
          <t>Spirituality and religiousness and alcohol/other drug problems : treatment and recovery perspectives / Brent B. Benda, Thomas F. McGovern, editors.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L326" t="inlineStr">
        <is>
          <t>New York : Haworth Press, c2006.</t>
        </is>
      </c>
      <c r="M326" t="inlineStr">
        <is>
          <t>2006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HV </t>
        </is>
      </c>
      <c r="S326" t="n">
        <v>1</v>
      </c>
      <c r="T326" t="n">
        <v>1</v>
      </c>
      <c r="U326" t="inlineStr">
        <is>
          <t>2008-10-27</t>
        </is>
      </c>
      <c r="V326" t="inlineStr">
        <is>
          <t>2008-10-27</t>
        </is>
      </c>
      <c r="W326" t="inlineStr">
        <is>
          <t>2008-10-27</t>
        </is>
      </c>
      <c r="X326" t="inlineStr">
        <is>
          <t>2008-10-27</t>
        </is>
      </c>
      <c r="Y326" t="n">
        <v>99</v>
      </c>
      <c r="Z326" t="n">
        <v>82</v>
      </c>
      <c r="AA326" t="n">
        <v>112</v>
      </c>
      <c r="AB326" t="n">
        <v>2</v>
      </c>
      <c r="AC326" t="n">
        <v>2</v>
      </c>
      <c r="AD326" t="n">
        <v>3</v>
      </c>
      <c r="AE326" t="n">
        <v>3</v>
      </c>
      <c r="AF326" t="n">
        <v>0</v>
      </c>
      <c r="AG326" t="n">
        <v>0</v>
      </c>
      <c r="AH326" t="n">
        <v>1</v>
      </c>
      <c r="AI326" t="n">
        <v>1</v>
      </c>
      <c r="AJ326" t="n">
        <v>2</v>
      </c>
      <c r="AK326" t="n">
        <v>2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HYPERLINK("https://creighton-primo.hosted.exlibrisgroup.com/primo-explore/search?tab=default_tab&amp;search_scope=EVERYTHING&amp;vid=01CRU&amp;lang=en_US&amp;offset=0&amp;query=any,contains,991005270499702656","Catalog Record")</f>
        <v/>
      </c>
      <c r="AT326">
        <f>HYPERLINK("http://www.worldcat.org/oclc/63179045","WorldCat Record")</f>
        <v/>
      </c>
      <c r="AU326" t="inlineStr">
        <is>
          <t>47368779:eng</t>
        </is>
      </c>
      <c r="AV326" t="inlineStr">
        <is>
          <t>63179045</t>
        </is>
      </c>
      <c r="AW326" t="inlineStr">
        <is>
          <t>991005270499702656</t>
        </is>
      </c>
      <c r="AX326" t="inlineStr">
        <is>
          <t>991005270499702656</t>
        </is>
      </c>
      <c r="AY326" t="inlineStr">
        <is>
          <t>2259134940002656</t>
        </is>
      </c>
      <c r="AZ326" t="inlineStr">
        <is>
          <t>BOOK</t>
        </is>
      </c>
      <c r="BB326" t="inlineStr">
        <is>
          <t>9780789032997</t>
        </is>
      </c>
      <c r="BC326" t="inlineStr">
        <is>
          <t>32285005464457</t>
        </is>
      </c>
      <c r="BD326" t="inlineStr">
        <is>
          <t>893320354</t>
        </is>
      </c>
    </row>
    <row r="327">
      <c r="A327" t="inlineStr">
        <is>
          <t>No</t>
        </is>
      </c>
      <c r="B327" t="inlineStr">
        <is>
          <t>HV5276 .M53</t>
        </is>
      </c>
      <c r="C327" t="inlineStr">
        <is>
          <t>0                      HV 5276000M  53</t>
        </is>
      </c>
      <c r="D327" t="inlineStr">
        <is>
          <t>Alternatives to alcohol abuse : a social learning model / Peter M. Miller, Marie A. Mastria. --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Miller, Peter M. (Peter Michael), 1942-</t>
        </is>
      </c>
      <c r="L327" t="inlineStr">
        <is>
          <t>Champaign, Ill. : Research Press Co., c1977.</t>
        </is>
      </c>
      <c r="M327" t="inlineStr">
        <is>
          <t>1977</t>
        </is>
      </c>
      <c r="O327" t="inlineStr">
        <is>
          <t>eng</t>
        </is>
      </c>
      <c r="P327" t="inlineStr">
        <is>
          <t>ilu</t>
        </is>
      </c>
      <c r="R327" t="inlineStr">
        <is>
          <t xml:space="preserve">HV </t>
        </is>
      </c>
      <c r="S327" t="n">
        <v>19</v>
      </c>
      <c r="T327" t="n">
        <v>19</v>
      </c>
      <c r="U327" t="inlineStr">
        <is>
          <t>2008-10-28</t>
        </is>
      </c>
      <c r="V327" t="inlineStr">
        <is>
          <t>2008-10-28</t>
        </is>
      </c>
      <c r="W327" t="inlineStr">
        <is>
          <t>1990-02-23</t>
        </is>
      </c>
      <c r="X327" t="inlineStr">
        <is>
          <t>1990-02-23</t>
        </is>
      </c>
      <c r="Y327" t="n">
        <v>258</v>
      </c>
      <c r="Z327" t="n">
        <v>204</v>
      </c>
      <c r="AA327" t="n">
        <v>211</v>
      </c>
      <c r="AB327" t="n">
        <v>2</v>
      </c>
      <c r="AC327" t="n">
        <v>2</v>
      </c>
      <c r="AD327" t="n">
        <v>8</v>
      </c>
      <c r="AE327" t="n">
        <v>8</v>
      </c>
      <c r="AF327" t="n">
        <v>1</v>
      </c>
      <c r="AG327" t="n">
        <v>1</v>
      </c>
      <c r="AH327" t="n">
        <v>1</v>
      </c>
      <c r="AI327" t="n">
        <v>1</v>
      </c>
      <c r="AJ327" t="n">
        <v>6</v>
      </c>
      <c r="AK327" t="n">
        <v>6</v>
      </c>
      <c r="AL327" t="n">
        <v>1</v>
      </c>
      <c r="AM327" t="n">
        <v>1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HYPERLINK("http://catalog.hathitrust.org/Record/000735625","HathiTrust Record")</f>
        <v/>
      </c>
      <c r="AS327">
        <f>HYPERLINK("https://creighton-primo.hosted.exlibrisgroup.com/primo-explore/search?tab=default_tab&amp;search_scope=EVERYTHING&amp;vid=01CRU&amp;lang=en_US&amp;offset=0&amp;query=any,contains,991004277759702656","Catalog Record")</f>
        <v/>
      </c>
      <c r="AT327">
        <f>HYPERLINK("http://www.worldcat.org/oclc/2896910","WorldCat Record")</f>
        <v/>
      </c>
      <c r="AU327" t="inlineStr">
        <is>
          <t>424276097:eng</t>
        </is>
      </c>
      <c r="AV327" t="inlineStr">
        <is>
          <t>2896910</t>
        </is>
      </c>
      <c r="AW327" t="inlineStr">
        <is>
          <t>991004277759702656</t>
        </is>
      </c>
      <c r="AX327" t="inlineStr">
        <is>
          <t>991004277759702656</t>
        </is>
      </c>
      <c r="AY327" t="inlineStr">
        <is>
          <t>2258565540002656</t>
        </is>
      </c>
      <c r="AZ327" t="inlineStr">
        <is>
          <t>BOOK</t>
        </is>
      </c>
      <c r="BB327" t="inlineStr">
        <is>
          <t>9780878221332</t>
        </is>
      </c>
      <c r="BC327" t="inlineStr">
        <is>
          <t>32285000061134</t>
        </is>
      </c>
      <c r="BD327" t="inlineStr">
        <is>
          <t>893353312</t>
        </is>
      </c>
    </row>
    <row r="328">
      <c r="A328" t="inlineStr">
        <is>
          <t>No</t>
        </is>
      </c>
      <c r="B328" t="inlineStr">
        <is>
          <t>HV5278.A78 G4</t>
        </is>
      </c>
      <c r="C328" t="inlineStr">
        <is>
          <t>0                      HV 5278000A  78                 G  4</t>
        </is>
      </c>
      <c r="D328" t="inlineStr">
        <is>
          <t>The sober alcoholic : an organizational analysis of Alcoholics Anonymous.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Gellman, Irving Peter, 1923-1971.</t>
        </is>
      </c>
      <c r="L328" t="inlineStr">
        <is>
          <t>New Haven : College and University Press, [1964]</t>
        </is>
      </c>
      <c r="M328" t="inlineStr">
        <is>
          <t>1964</t>
        </is>
      </c>
      <c r="O328" t="inlineStr">
        <is>
          <t>eng</t>
        </is>
      </c>
      <c r="P328" t="inlineStr">
        <is>
          <t>ctu</t>
        </is>
      </c>
      <c r="R328" t="inlineStr">
        <is>
          <t xml:space="preserve">HV </t>
        </is>
      </c>
      <c r="S328" t="n">
        <v>11</v>
      </c>
      <c r="T328" t="n">
        <v>11</v>
      </c>
      <c r="U328" t="inlineStr">
        <is>
          <t>1994-06-23</t>
        </is>
      </c>
      <c r="V328" t="inlineStr">
        <is>
          <t>1994-06-23</t>
        </is>
      </c>
      <c r="W328" t="inlineStr">
        <is>
          <t>1990-10-22</t>
        </is>
      </c>
      <c r="X328" t="inlineStr">
        <is>
          <t>1990-10-22</t>
        </is>
      </c>
      <c r="Y328" t="n">
        <v>398</v>
      </c>
      <c r="Z328" t="n">
        <v>352</v>
      </c>
      <c r="AA328" t="n">
        <v>359</v>
      </c>
      <c r="AB328" t="n">
        <v>5</v>
      </c>
      <c r="AC328" t="n">
        <v>5</v>
      </c>
      <c r="AD328" t="n">
        <v>22</v>
      </c>
      <c r="AE328" t="n">
        <v>22</v>
      </c>
      <c r="AF328" t="n">
        <v>8</v>
      </c>
      <c r="AG328" t="n">
        <v>8</v>
      </c>
      <c r="AH328" t="n">
        <v>5</v>
      </c>
      <c r="AI328" t="n">
        <v>5</v>
      </c>
      <c r="AJ328" t="n">
        <v>12</v>
      </c>
      <c r="AK328" t="n">
        <v>12</v>
      </c>
      <c r="AL328" t="n">
        <v>4</v>
      </c>
      <c r="AM328" t="n">
        <v>4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HYPERLINK("http://catalog.hathitrust.org/Record/001133588","HathiTrust Record")</f>
        <v/>
      </c>
      <c r="AS328">
        <f>HYPERLINK("https://creighton-primo.hosted.exlibrisgroup.com/primo-explore/search?tab=default_tab&amp;search_scope=EVERYTHING&amp;vid=01CRU&amp;lang=en_US&amp;offset=0&amp;query=any,contains,991002861579702656","Catalog Record")</f>
        <v/>
      </c>
      <c r="AT328">
        <f>HYPERLINK("http://www.worldcat.org/oclc/493510","WorldCat Record")</f>
        <v/>
      </c>
      <c r="AU328" t="inlineStr">
        <is>
          <t>1586673:eng</t>
        </is>
      </c>
      <c r="AV328" t="inlineStr">
        <is>
          <t>493510</t>
        </is>
      </c>
      <c r="AW328" t="inlineStr">
        <is>
          <t>991002861579702656</t>
        </is>
      </c>
      <c r="AX328" t="inlineStr">
        <is>
          <t>991002861579702656</t>
        </is>
      </c>
      <c r="AY328" t="inlineStr">
        <is>
          <t>2255008420002656</t>
        </is>
      </c>
      <c r="AZ328" t="inlineStr">
        <is>
          <t>BOOK</t>
        </is>
      </c>
      <c r="BC328" t="inlineStr">
        <is>
          <t>32285000351113</t>
        </is>
      </c>
      <c r="BD328" t="inlineStr">
        <is>
          <t>893805149</t>
        </is>
      </c>
    </row>
    <row r="329">
      <c r="A329" t="inlineStr">
        <is>
          <t>No</t>
        </is>
      </c>
      <c r="B329" t="inlineStr">
        <is>
          <t>HV5292 .C32</t>
        </is>
      </c>
      <c r="C329" t="inlineStr">
        <is>
          <t>0                      HV 5292000C  32</t>
        </is>
      </c>
      <c r="D329" t="inlineStr">
        <is>
          <t>Problem drinkers.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Cahalan, Don.</t>
        </is>
      </c>
      <c r="L329" t="inlineStr">
        <is>
          <t>San Francisco : Jossey-Bass, [1970]</t>
        </is>
      </c>
      <c r="M329" t="inlineStr">
        <is>
          <t>1970</t>
        </is>
      </c>
      <c r="N329" t="inlineStr">
        <is>
          <t>[1st ed.]</t>
        </is>
      </c>
      <c r="O329" t="inlineStr">
        <is>
          <t>eng</t>
        </is>
      </c>
      <c r="P329" t="inlineStr">
        <is>
          <t>cau</t>
        </is>
      </c>
      <c r="Q329" t="inlineStr">
        <is>
          <t>The Jossey-Bass behavioral science series</t>
        </is>
      </c>
      <c r="R329" t="inlineStr">
        <is>
          <t xml:space="preserve">HV </t>
        </is>
      </c>
      <c r="S329" t="n">
        <v>14</v>
      </c>
      <c r="T329" t="n">
        <v>14</v>
      </c>
      <c r="U329" t="inlineStr">
        <is>
          <t>2000-10-06</t>
        </is>
      </c>
      <c r="V329" t="inlineStr">
        <is>
          <t>2000-10-06</t>
        </is>
      </c>
      <c r="W329" t="inlineStr">
        <is>
          <t>1990-10-22</t>
        </is>
      </c>
      <c r="X329" t="inlineStr">
        <is>
          <t>1990-10-22</t>
        </is>
      </c>
      <c r="Y329" t="n">
        <v>554</v>
      </c>
      <c r="Z329" t="n">
        <v>491</v>
      </c>
      <c r="AA329" t="n">
        <v>515</v>
      </c>
      <c r="AB329" t="n">
        <v>5</v>
      </c>
      <c r="AC329" t="n">
        <v>5</v>
      </c>
      <c r="AD329" t="n">
        <v>22</v>
      </c>
      <c r="AE329" t="n">
        <v>24</v>
      </c>
      <c r="AF329" t="n">
        <v>6</v>
      </c>
      <c r="AG329" t="n">
        <v>6</v>
      </c>
      <c r="AH329" t="n">
        <v>4</v>
      </c>
      <c r="AI329" t="n">
        <v>4</v>
      </c>
      <c r="AJ329" t="n">
        <v>10</v>
      </c>
      <c r="AK329" t="n">
        <v>12</v>
      </c>
      <c r="AL329" t="n">
        <v>4</v>
      </c>
      <c r="AM329" t="n">
        <v>4</v>
      </c>
      <c r="AN329" t="n">
        <v>2</v>
      </c>
      <c r="AO329" t="n">
        <v>2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HYPERLINK("http://catalog.hathitrust.org/Record/001133608","HathiTrust Record")</f>
        <v/>
      </c>
      <c r="AS329">
        <f>HYPERLINK("https://creighton-primo.hosted.exlibrisgroup.com/primo-explore/search?tab=default_tab&amp;search_scope=EVERYTHING&amp;vid=01CRU&amp;lang=en_US&amp;offset=0&amp;query=any,contains,991000615269702656","Catalog Record")</f>
        <v/>
      </c>
      <c r="AT329">
        <f>HYPERLINK("http://www.worldcat.org/oclc/101521","WorldCat Record")</f>
        <v/>
      </c>
      <c r="AU329" t="inlineStr">
        <is>
          <t>1171767:eng</t>
        </is>
      </c>
      <c r="AV329" t="inlineStr">
        <is>
          <t>101521</t>
        </is>
      </c>
      <c r="AW329" t="inlineStr">
        <is>
          <t>991000615269702656</t>
        </is>
      </c>
      <c r="AX329" t="inlineStr">
        <is>
          <t>991000615269702656</t>
        </is>
      </c>
      <c r="AY329" t="inlineStr">
        <is>
          <t>2261312430002656</t>
        </is>
      </c>
      <c r="AZ329" t="inlineStr">
        <is>
          <t>BOOK</t>
        </is>
      </c>
      <c r="BB329" t="inlineStr">
        <is>
          <t>9780875890807</t>
        </is>
      </c>
      <c r="BC329" t="inlineStr">
        <is>
          <t>32285000351121</t>
        </is>
      </c>
      <c r="BD329" t="inlineStr">
        <is>
          <t>893714743</t>
        </is>
      </c>
    </row>
    <row r="330">
      <c r="A330" t="inlineStr">
        <is>
          <t>No</t>
        </is>
      </c>
      <c r="B330" t="inlineStr">
        <is>
          <t>HV5292 .L4 1987</t>
        </is>
      </c>
      <c r="C330" t="inlineStr">
        <is>
          <t>0                      HV 5292000L  4           1987</t>
        </is>
      </c>
      <c r="D330" t="inlineStr">
        <is>
          <t>Drinking in America : a history / by Mark Edward Lender, James Kirby Martin.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Lender, Mark Edward, 1947-</t>
        </is>
      </c>
      <c r="L330" t="inlineStr">
        <is>
          <t>New York : Free Press ; London : Collier Macmillan, c1987.</t>
        </is>
      </c>
      <c r="M330" t="inlineStr">
        <is>
          <t>1987</t>
        </is>
      </c>
      <c r="N330" t="inlineStr">
        <is>
          <t>The rev. and expanded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HV </t>
        </is>
      </c>
      <c r="S330" t="n">
        <v>37</v>
      </c>
      <c r="T330" t="n">
        <v>37</v>
      </c>
      <c r="U330" t="inlineStr">
        <is>
          <t>2007-08-13</t>
        </is>
      </c>
      <c r="V330" t="inlineStr">
        <is>
          <t>2007-08-13</t>
        </is>
      </c>
      <c r="W330" t="inlineStr">
        <is>
          <t>1993-03-31</t>
        </is>
      </c>
      <c r="X330" t="inlineStr">
        <is>
          <t>1993-03-31</t>
        </is>
      </c>
      <c r="Y330" t="n">
        <v>450</v>
      </c>
      <c r="Z330" t="n">
        <v>424</v>
      </c>
      <c r="AA330" t="n">
        <v>1365</v>
      </c>
      <c r="AB330" t="n">
        <v>3</v>
      </c>
      <c r="AC330" t="n">
        <v>6</v>
      </c>
      <c r="AD330" t="n">
        <v>13</v>
      </c>
      <c r="AE330" t="n">
        <v>43</v>
      </c>
      <c r="AF330" t="n">
        <v>5</v>
      </c>
      <c r="AG330" t="n">
        <v>18</v>
      </c>
      <c r="AH330" t="n">
        <v>2</v>
      </c>
      <c r="AI330" t="n">
        <v>8</v>
      </c>
      <c r="AJ330" t="n">
        <v>9</v>
      </c>
      <c r="AK330" t="n">
        <v>21</v>
      </c>
      <c r="AL330" t="n">
        <v>2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HYPERLINK("http://catalog.hathitrust.org/Record/001823855","HathiTrust Record")</f>
        <v/>
      </c>
      <c r="AS330">
        <f>HYPERLINK("https://creighton-primo.hosted.exlibrisgroup.com/primo-explore/search?tab=default_tab&amp;search_scope=EVERYTHING&amp;vid=01CRU&amp;lang=en_US&amp;offset=0&amp;query=any,contains,991000992179702656","Catalog Record")</f>
        <v/>
      </c>
      <c r="AT330">
        <f>HYPERLINK("http://www.worldcat.org/oclc/15108769","WorldCat Record")</f>
        <v/>
      </c>
      <c r="AU330" t="inlineStr">
        <is>
          <t>887584:eng</t>
        </is>
      </c>
      <c r="AV330" t="inlineStr">
        <is>
          <t>15108769</t>
        </is>
      </c>
      <c r="AW330" t="inlineStr">
        <is>
          <t>991000992179702656</t>
        </is>
      </c>
      <c r="AX330" t="inlineStr">
        <is>
          <t>991000992179702656</t>
        </is>
      </c>
      <c r="AY330" t="inlineStr">
        <is>
          <t>2267460920002656</t>
        </is>
      </c>
      <c r="AZ330" t="inlineStr">
        <is>
          <t>BOOK</t>
        </is>
      </c>
      <c r="BB330" t="inlineStr">
        <is>
          <t>9780029185704</t>
        </is>
      </c>
      <c r="BC330" t="inlineStr">
        <is>
          <t>32285001595791</t>
        </is>
      </c>
      <c r="BD330" t="inlineStr">
        <is>
          <t>893346153</t>
        </is>
      </c>
    </row>
    <row r="331">
      <c r="A331" t="inlineStr">
        <is>
          <t>No</t>
        </is>
      </c>
      <c r="B331" t="inlineStr">
        <is>
          <t>HV5292 .P47 2003</t>
        </is>
      </c>
      <c r="C331" t="inlineStr">
        <is>
          <t>0                      HV 5292000P  47          2003</t>
        </is>
      </c>
      <c r="D331" t="inlineStr">
        <is>
          <t>A nation under the influence : America's addiction to alcohol / J. Vincent Peterson, Bernard Nisenholz, Gary Robinson.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Peterson, J. Vincent.</t>
        </is>
      </c>
      <c r="L331" t="inlineStr">
        <is>
          <t>Boston : Allyn and Bacon, c2003.</t>
        </is>
      </c>
      <c r="M331" t="inlineStr">
        <is>
          <t>2003</t>
        </is>
      </c>
      <c r="O331" t="inlineStr">
        <is>
          <t>eng</t>
        </is>
      </c>
      <c r="P331" t="inlineStr">
        <is>
          <t>mau</t>
        </is>
      </c>
      <c r="R331" t="inlineStr">
        <is>
          <t xml:space="preserve">HV </t>
        </is>
      </c>
      <c r="S331" t="n">
        <v>8</v>
      </c>
      <c r="T331" t="n">
        <v>8</v>
      </c>
      <c r="U331" t="inlineStr">
        <is>
          <t>2009-11-23</t>
        </is>
      </c>
      <c r="V331" t="inlineStr">
        <is>
          <t>2009-11-23</t>
        </is>
      </c>
      <c r="W331" t="inlineStr">
        <is>
          <t>2004-02-23</t>
        </is>
      </c>
      <c r="X331" t="inlineStr">
        <is>
          <t>2004-02-23</t>
        </is>
      </c>
      <c r="Y331" t="n">
        <v>262</v>
      </c>
      <c r="Z331" t="n">
        <v>231</v>
      </c>
      <c r="AA331" t="n">
        <v>237</v>
      </c>
      <c r="AB331" t="n">
        <v>4</v>
      </c>
      <c r="AC331" t="n">
        <v>4</v>
      </c>
      <c r="AD331" t="n">
        <v>12</v>
      </c>
      <c r="AE331" t="n">
        <v>12</v>
      </c>
      <c r="AF331" t="n">
        <v>3</v>
      </c>
      <c r="AG331" t="n">
        <v>3</v>
      </c>
      <c r="AH331" t="n">
        <v>4</v>
      </c>
      <c r="AI331" t="n">
        <v>4</v>
      </c>
      <c r="AJ331" t="n">
        <v>6</v>
      </c>
      <c r="AK331" t="n">
        <v>6</v>
      </c>
      <c r="AL331" t="n">
        <v>3</v>
      </c>
      <c r="AM331" t="n">
        <v>3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HYPERLINK("http://catalog.hathitrust.org/Record/004236683","HathiTrust Record")</f>
        <v/>
      </c>
      <c r="AS331">
        <f>HYPERLINK("https://creighton-primo.hosted.exlibrisgroup.com/primo-explore/search?tab=default_tab&amp;search_scope=EVERYTHING&amp;vid=01CRU&amp;lang=en_US&amp;offset=0&amp;query=any,contains,991004232669702656","Catalog Record")</f>
        <v/>
      </c>
      <c r="AT331">
        <f>HYPERLINK("http://www.worldcat.org/oclc/48053907","WorldCat Record")</f>
        <v/>
      </c>
      <c r="AU331" t="inlineStr">
        <is>
          <t>796385751:eng</t>
        </is>
      </c>
      <c r="AV331" t="inlineStr">
        <is>
          <t>48053907</t>
        </is>
      </c>
      <c r="AW331" t="inlineStr">
        <is>
          <t>991004232669702656</t>
        </is>
      </c>
      <c r="AX331" t="inlineStr">
        <is>
          <t>991004232669702656</t>
        </is>
      </c>
      <c r="AY331" t="inlineStr">
        <is>
          <t>2268420580002656</t>
        </is>
      </c>
      <c r="AZ331" t="inlineStr">
        <is>
          <t>BOOK</t>
        </is>
      </c>
      <c r="BB331" t="inlineStr">
        <is>
          <t>9780205327140</t>
        </is>
      </c>
      <c r="BC331" t="inlineStr">
        <is>
          <t>32285004639737</t>
        </is>
      </c>
      <c r="BD331" t="inlineStr">
        <is>
          <t>893722340</t>
        </is>
      </c>
    </row>
    <row r="332">
      <c r="A332" t="inlineStr">
        <is>
          <t>No</t>
        </is>
      </c>
      <c r="B332" t="inlineStr">
        <is>
          <t>HV5292 .S83</t>
        </is>
      </c>
      <c r="C332" t="inlineStr">
        <is>
          <t>0                      HV 5292000S  83</t>
        </is>
      </c>
      <c r="D332" t="inlineStr">
        <is>
          <t>Drinking in college [by] Robert Straus and Selden D. Bacon.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Straus, Robert.</t>
        </is>
      </c>
      <c r="L332" t="inlineStr">
        <is>
          <t>New Haven, Yale University Press, 1953.</t>
        </is>
      </c>
      <c r="M332" t="inlineStr">
        <is>
          <t>1953</t>
        </is>
      </c>
      <c r="O332" t="inlineStr">
        <is>
          <t>eng</t>
        </is>
      </c>
      <c r="P332" t="inlineStr">
        <is>
          <t>ctu</t>
        </is>
      </c>
      <c r="R332" t="inlineStr">
        <is>
          <t xml:space="preserve">HV </t>
        </is>
      </c>
      <c r="S332" t="n">
        <v>9</v>
      </c>
      <c r="T332" t="n">
        <v>9</v>
      </c>
      <c r="U332" t="inlineStr">
        <is>
          <t>2005-04-11</t>
        </is>
      </c>
      <c r="V332" t="inlineStr">
        <is>
          <t>2005-04-11</t>
        </is>
      </c>
      <c r="W332" t="inlineStr">
        <is>
          <t>1997-08-22</t>
        </is>
      </c>
      <c r="X332" t="inlineStr">
        <is>
          <t>1997-08-22</t>
        </is>
      </c>
      <c r="Y332" t="n">
        <v>673</v>
      </c>
      <c r="Z332" t="n">
        <v>630</v>
      </c>
      <c r="AA332" t="n">
        <v>685</v>
      </c>
      <c r="AB332" t="n">
        <v>7</v>
      </c>
      <c r="AC332" t="n">
        <v>7</v>
      </c>
      <c r="AD332" t="n">
        <v>34</v>
      </c>
      <c r="AE332" t="n">
        <v>36</v>
      </c>
      <c r="AF332" t="n">
        <v>17</v>
      </c>
      <c r="AG332" t="n">
        <v>18</v>
      </c>
      <c r="AH332" t="n">
        <v>5</v>
      </c>
      <c r="AI332" t="n">
        <v>6</v>
      </c>
      <c r="AJ332" t="n">
        <v>14</v>
      </c>
      <c r="AK332" t="n">
        <v>15</v>
      </c>
      <c r="AL332" t="n">
        <v>6</v>
      </c>
      <c r="AM332" t="n">
        <v>6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HYPERLINK("http://catalog.hathitrust.org/Record/001133613","HathiTrust Record")</f>
        <v/>
      </c>
      <c r="AS332">
        <f>HYPERLINK("https://creighton-primo.hosted.exlibrisgroup.com/primo-explore/search?tab=default_tab&amp;search_scope=EVERYTHING&amp;vid=01CRU&amp;lang=en_US&amp;offset=0&amp;query=any,contains,991002873369702656","Catalog Record")</f>
        <v/>
      </c>
      <c r="AT332">
        <f>HYPERLINK("http://www.worldcat.org/oclc/501137","WorldCat Record")</f>
        <v/>
      </c>
      <c r="AU332" t="inlineStr">
        <is>
          <t>1256225:eng</t>
        </is>
      </c>
      <c r="AV332" t="inlineStr">
        <is>
          <t>501137</t>
        </is>
      </c>
      <c r="AW332" t="inlineStr">
        <is>
          <t>991002873369702656</t>
        </is>
      </c>
      <c r="AX332" t="inlineStr">
        <is>
          <t>991002873369702656</t>
        </is>
      </c>
      <c r="AY332" t="inlineStr">
        <is>
          <t>2256747010002656</t>
        </is>
      </c>
      <c r="AZ332" t="inlineStr">
        <is>
          <t>BOOK</t>
        </is>
      </c>
      <c r="BC332" t="inlineStr">
        <is>
          <t>32285003157624</t>
        </is>
      </c>
      <c r="BD332" t="inlineStr">
        <is>
          <t>893341968</t>
        </is>
      </c>
    </row>
    <row r="333">
      <c r="A333" t="inlineStr">
        <is>
          <t>No</t>
        </is>
      </c>
      <c r="B333" t="inlineStr">
        <is>
          <t>HV5293.K53 A3 1997</t>
        </is>
      </c>
      <c r="C333" t="inlineStr">
        <is>
          <t>0                      HV 5293000K  53                 A  3           1997</t>
        </is>
      </c>
      <c r="D333" t="inlineStr">
        <is>
          <t>Drinking : a love story / Caroline Knapp.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Knapp, Caroline, 1959-2002.</t>
        </is>
      </c>
      <c r="L333" t="inlineStr">
        <is>
          <t>New York : Dell Pub., 1997.</t>
        </is>
      </c>
      <c r="M333" t="inlineStr">
        <is>
          <t>1997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HV </t>
        </is>
      </c>
      <c r="S333" t="n">
        <v>19</v>
      </c>
      <c r="T333" t="n">
        <v>19</v>
      </c>
      <c r="U333" t="inlineStr">
        <is>
          <t>2008-02-27</t>
        </is>
      </c>
      <c r="V333" t="inlineStr">
        <is>
          <t>2008-02-27</t>
        </is>
      </c>
      <c r="W333" t="inlineStr">
        <is>
          <t>2002-11-14</t>
        </is>
      </c>
      <c r="X333" t="inlineStr">
        <is>
          <t>2002-11-14</t>
        </is>
      </c>
      <c r="Y333" t="n">
        <v>175</v>
      </c>
      <c r="Z333" t="n">
        <v>169</v>
      </c>
      <c r="AA333" t="n">
        <v>1543</v>
      </c>
      <c r="AB333" t="n">
        <v>1</v>
      </c>
      <c r="AC333" t="n">
        <v>10</v>
      </c>
      <c r="AD333" t="n">
        <v>3</v>
      </c>
      <c r="AE333" t="n">
        <v>27</v>
      </c>
      <c r="AF333" t="n">
        <v>3</v>
      </c>
      <c r="AG333" t="n">
        <v>11</v>
      </c>
      <c r="AH333" t="n">
        <v>0</v>
      </c>
      <c r="AI333" t="n">
        <v>4</v>
      </c>
      <c r="AJ333" t="n">
        <v>1</v>
      </c>
      <c r="AK333" t="n">
        <v>13</v>
      </c>
      <c r="AL333" t="n">
        <v>0</v>
      </c>
      <c r="AM333" t="n">
        <v>4</v>
      </c>
      <c r="AN333" t="n">
        <v>0</v>
      </c>
      <c r="AO333" t="n">
        <v>1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HYPERLINK("https://creighton-primo.hosted.exlibrisgroup.com/primo-explore/search?tab=default_tab&amp;search_scope=EVERYTHING&amp;vid=01CRU&amp;lang=en_US&amp;offset=0&amp;query=any,contains,991003944169702656","Catalog Record")</f>
        <v/>
      </c>
      <c r="AT333">
        <f>HYPERLINK("http://www.worldcat.org/oclc/37304044","WorldCat Record")</f>
        <v/>
      </c>
      <c r="AU333" t="inlineStr">
        <is>
          <t>24130861:eng</t>
        </is>
      </c>
      <c r="AV333" t="inlineStr">
        <is>
          <t>37304044</t>
        </is>
      </c>
      <c r="AW333" t="inlineStr">
        <is>
          <t>991003944169702656</t>
        </is>
      </c>
      <c r="AX333" t="inlineStr">
        <is>
          <t>991003944169702656</t>
        </is>
      </c>
      <c r="AY333" t="inlineStr">
        <is>
          <t>2255318650002656</t>
        </is>
      </c>
      <c r="AZ333" t="inlineStr">
        <is>
          <t>BOOK</t>
        </is>
      </c>
      <c r="BB333" t="inlineStr">
        <is>
          <t>9780385315548</t>
        </is>
      </c>
      <c r="BC333" t="inlineStr">
        <is>
          <t>32285004663836</t>
        </is>
      </c>
      <c r="BD333" t="inlineStr">
        <is>
          <t>893263027</t>
        </is>
      </c>
    </row>
    <row r="334">
      <c r="A334" t="inlineStr">
        <is>
          <t>No</t>
        </is>
      </c>
      <c r="B334" t="inlineStr">
        <is>
          <t>HV5296 .F8</t>
        </is>
      </c>
      <c r="C334" t="inlineStr">
        <is>
          <t>0                      HV 5296000F  8</t>
        </is>
      </c>
      <c r="D334" t="inlineStr">
        <is>
          <t>Alcohol: our biggest drug problem.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Fort, Joel, 1929-</t>
        </is>
      </c>
      <c r="L334" t="inlineStr">
        <is>
          <t>New York, McGraw-Hill [1973]</t>
        </is>
      </c>
      <c r="M334" t="inlineStr">
        <is>
          <t>1973</t>
        </is>
      </c>
      <c r="O334" t="inlineStr">
        <is>
          <t>eng</t>
        </is>
      </c>
      <c r="P334" t="inlineStr">
        <is>
          <t>nyu</t>
        </is>
      </c>
      <c r="Q334" t="inlineStr">
        <is>
          <t>McGraw-Hill series in education</t>
        </is>
      </c>
      <c r="R334" t="inlineStr">
        <is>
          <t xml:space="preserve">HV </t>
        </is>
      </c>
      <c r="S334" t="n">
        <v>21</v>
      </c>
      <c r="T334" t="n">
        <v>21</v>
      </c>
      <c r="U334" t="inlineStr">
        <is>
          <t>2004-11-10</t>
        </is>
      </c>
      <c r="V334" t="inlineStr">
        <is>
          <t>2004-11-10</t>
        </is>
      </c>
      <c r="W334" t="inlineStr">
        <is>
          <t>1991-12-20</t>
        </is>
      </c>
      <c r="X334" t="inlineStr">
        <is>
          <t>1991-12-20</t>
        </is>
      </c>
      <c r="Y334" t="n">
        <v>762</v>
      </c>
      <c r="Z334" t="n">
        <v>663</v>
      </c>
      <c r="AA334" t="n">
        <v>670</v>
      </c>
      <c r="AB334" t="n">
        <v>9</v>
      </c>
      <c r="AC334" t="n">
        <v>9</v>
      </c>
      <c r="AD334" t="n">
        <v>24</v>
      </c>
      <c r="AE334" t="n">
        <v>24</v>
      </c>
      <c r="AF334" t="n">
        <v>9</v>
      </c>
      <c r="AG334" t="n">
        <v>9</v>
      </c>
      <c r="AH334" t="n">
        <v>4</v>
      </c>
      <c r="AI334" t="n">
        <v>4</v>
      </c>
      <c r="AJ334" t="n">
        <v>11</v>
      </c>
      <c r="AK334" t="n">
        <v>11</v>
      </c>
      <c r="AL334" t="n">
        <v>5</v>
      </c>
      <c r="AM334" t="n">
        <v>5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HYPERLINK("http://catalog.hathitrust.org/Record/001133626","HathiTrust Record")</f>
        <v/>
      </c>
      <c r="AS334">
        <f>HYPERLINK("https://creighton-primo.hosted.exlibrisgroup.com/primo-explore/search?tab=default_tab&amp;search_scope=EVERYTHING&amp;vid=01CRU&amp;lang=en_US&amp;offset=0&amp;query=any,contains,991002916259702656","Catalog Record")</f>
        <v/>
      </c>
      <c r="AT334">
        <f>HYPERLINK("http://www.worldcat.org/oclc/524142","WorldCat Record")</f>
        <v/>
      </c>
      <c r="AU334" t="inlineStr">
        <is>
          <t>1909106096:eng</t>
        </is>
      </c>
      <c r="AV334" t="inlineStr">
        <is>
          <t>524142</t>
        </is>
      </c>
      <c r="AW334" t="inlineStr">
        <is>
          <t>991002916259702656</t>
        </is>
      </c>
      <c r="AX334" t="inlineStr">
        <is>
          <t>991002916259702656</t>
        </is>
      </c>
      <c r="AY334" t="inlineStr">
        <is>
          <t>2261321670002656</t>
        </is>
      </c>
      <c r="AZ334" t="inlineStr">
        <is>
          <t>BOOK</t>
        </is>
      </c>
      <c r="BB334" t="inlineStr">
        <is>
          <t>9780070215986</t>
        </is>
      </c>
      <c r="BC334" t="inlineStr">
        <is>
          <t>32285000908755</t>
        </is>
      </c>
      <c r="BD334" t="inlineStr">
        <is>
          <t>893598055</t>
        </is>
      </c>
    </row>
    <row r="335">
      <c r="A335" t="inlineStr">
        <is>
          <t>No</t>
        </is>
      </c>
      <c r="B335" t="inlineStr">
        <is>
          <t>HV5298.N5 K36</t>
        </is>
      </c>
      <c r="C335" t="inlineStr">
        <is>
          <t>0                      HV 5298000N  5                  K  36</t>
        </is>
      </c>
      <c r="D335" t="inlineStr">
        <is>
          <t>Inner-city alcoholism : an ecological analysis and cross-cultural study / Geoffrey P. Kane.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Kane, Geoffrey P., 1944-</t>
        </is>
      </c>
      <c r="L335" t="inlineStr">
        <is>
          <t>New York, N.Y. : Human Sciences Press, c1981.</t>
        </is>
      </c>
      <c r="M335" t="inlineStr">
        <is>
          <t>1981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HV </t>
        </is>
      </c>
      <c r="S335" t="n">
        <v>10</v>
      </c>
      <c r="T335" t="n">
        <v>10</v>
      </c>
      <c r="U335" t="inlineStr">
        <is>
          <t>2005-04-25</t>
        </is>
      </c>
      <c r="V335" t="inlineStr">
        <is>
          <t>2005-04-25</t>
        </is>
      </c>
      <c r="W335" t="inlineStr">
        <is>
          <t>1990-07-06</t>
        </is>
      </c>
      <c r="X335" t="inlineStr">
        <is>
          <t>1990-07-06</t>
        </is>
      </c>
      <c r="Y335" t="n">
        <v>388</v>
      </c>
      <c r="Z335" t="n">
        <v>344</v>
      </c>
      <c r="AA335" t="n">
        <v>346</v>
      </c>
      <c r="AB335" t="n">
        <v>3</v>
      </c>
      <c r="AC335" t="n">
        <v>3</v>
      </c>
      <c r="AD335" t="n">
        <v>15</v>
      </c>
      <c r="AE335" t="n">
        <v>15</v>
      </c>
      <c r="AF335" t="n">
        <v>6</v>
      </c>
      <c r="AG335" t="n">
        <v>6</v>
      </c>
      <c r="AH335" t="n">
        <v>2</v>
      </c>
      <c r="AI335" t="n">
        <v>2</v>
      </c>
      <c r="AJ335" t="n">
        <v>8</v>
      </c>
      <c r="AK335" t="n">
        <v>8</v>
      </c>
      <c r="AL335" t="n">
        <v>2</v>
      </c>
      <c r="AM335" t="n">
        <v>2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HYPERLINK("http://catalog.hathitrust.org/Record/000098987","HathiTrust Record")</f>
        <v/>
      </c>
      <c r="AS335">
        <f>HYPERLINK("https://creighton-primo.hosted.exlibrisgroup.com/primo-explore/search?tab=default_tab&amp;search_scope=EVERYTHING&amp;vid=01CRU&amp;lang=en_US&amp;offset=0&amp;query=any,contains,991005084219702656","Catalog Record")</f>
        <v/>
      </c>
      <c r="AT335">
        <f>HYPERLINK("http://www.worldcat.org/oclc/7178655","WorldCat Record")</f>
        <v/>
      </c>
      <c r="AU335" t="inlineStr">
        <is>
          <t>554909:eng</t>
        </is>
      </c>
      <c r="AV335" t="inlineStr">
        <is>
          <t>7178655</t>
        </is>
      </c>
      <c r="AW335" t="inlineStr">
        <is>
          <t>991005084219702656</t>
        </is>
      </c>
      <c r="AX335" t="inlineStr">
        <is>
          <t>991005084219702656</t>
        </is>
      </c>
      <c r="AY335" t="inlineStr">
        <is>
          <t>2267531730002656</t>
        </is>
      </c>
      <c r="AZ335" t="inlineStr">
        <is>
          <t>BOOK</t>
        </is>
      </c>
      <c r="BB335" t="inlineStr">
        <is>
          <t>9780898850239</t>
        </is>
      </c>
      <c r="BC335" t="inlineStr">
        <is>
          <t>32285000225663</t>
        </is>
      </c>
      <c r="BD335" t="inlineStr">
        <is>
          <t>893895840</t>
        </is>
      </c>
    </row>
    <row r="336">
      <c r="A336" t="inlineStr">
        <is>
          <t>No</t>
        </is>
      </c>
      <c r="B336" t="inlineStr">
        <is>
          <t>HV530 .C36 2001</t>
        </is>
      </c>
      <c r="C336" t="inlineStr">
        <is>
          <t>0                      HV 0530000C  36          2001</t>
        </is>
      </c>
      <c r="D336" t="inlineStr">
        <is>
          <t>Can charitable choice work? : covering religions's impact on urban affairs and social services / edited by Andrew Walsh.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L336" t="inlineStr">
        <is>
          <t>Hartford, Conn. : The Pew Program on Religion and the News Media, Leonard E. Greenberg Center for the Study of Religion in Public Life, Trinity College, 2001.</t>
        </is>
      </c>
      <c r="M336" t="inlineStr">
        <is>
          <t>2001</t>
        </is>
      </c>
      <c r="O336" t="inlineStr">
        <is>
          <t>eng</t>
        </is>
      </c>
      <c r="P336" t="inlineStr">
        <is>
          <t>ctu</t>
        </is>
      </c>
      <c r="R336" t="inlineStr">
        <is>
          <t xml:space="preserve">HV </t>
        </is>
      </c>
      <c r="S336" t="n">
        <v>1</v>
      </c>
      <c r="T336" t="n">
        <v>1</v>
      </c>
      <c r="U336" t="inlineStr">
        <is>
          <t>2002-01-15</t>
        </is>
      </c>
      <c r="V336" t="inlineStr">
        <is>
          <t>2002-01-15</t>
        </is>
      </c>
      <c r="W336" t="inlineStr">
        <is>
          <t>2002-01-15</t>
        </is>
      </c>
      <c r="X336" t="inlineStr">
        <is>
          <t>2002-01-15</t>
        </is>
      </c>
      <c r="Y336" t="n">
        <v>230</v>
      </c>
      <c r="Z336" t="n">
        <v>230</v>
      </c>
      <c r="AA336" t="n">
        <v>255</v>
      </c>
      <c r="AB336" t="n">
        <v>1</v>
      </c>
      <c r="AC336" t="n">
        <v>1</v>
      </c>
      <c r="AD336" t="n">
        <v>12</v>
      </c>
      <c r="AE336" t="n">
        <v>14</v>
      </c>
      <c r="AF336" t="n">
        <v>5</v>
      </c>
      <c r="AG336" t="n">
        <v>6</v>
      </c>
      <c r="AH336" t="n">
        <v>2</v>
      </c>
      <c r="AI336" t="n">
        <v>3</v>
      </c>
      <c r="AJ336" t="n">
        <v>9</v>
      </c>
      <c r="AK336" t="n">
        <v>10</v>
      </c>
      <c r="AL336" t="n">
        <v>0</v>
      </c>
      <c r="AM336" t="n">
        <v>0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HYPERLINK("http://catalog.hathitrust.org/Record/004212280","HathiTrust Record")</f>
        <v/>
      </c>
      <c r="AS336">
        <f>HYPERLINK("https://creighton-primo.hosted.exlibrisgroup.com/primo-explore/search?tab=default_tab&amp;search_scope=EVERYTHING&amp;vid=01CRU&amp;lang=en_US&amp;offset=0&amp;query=any,contains,991003706969702656","Catalog Record")</f>
        <v/>
      </c>
      <c r="AT336">
        <f>HYPERLINK("http://www.worldcat.org/oclc/48566844","WorldCat Record")</f>
        <v/>
      </c>
      <c r="AU336" t="inlineStr">
        <is>
          <t>56763724:eng</t>
        </is>
      </c>
      <c r="AV336" t="inlineStr">
        <is>
          <t>48566844</t>
        </is>
      </c>
      <c r="AW336" t="inlineStr">
        <is>
          <t>991003706969702656</t>
        </is>
      </c>
      <c r="AX336" t="inlineStr">
        <is>
          <t>991003706969702656</t>
        </is>
      </c>
      <c r="AY336" t="inlineStr">
        <is>
          <t>2269779440002656</t>
        </is>
      </c>
      <c r="AZ336" t="inlineStr">
        <is>
          <t>BOOK</t>
        </is>
      </c>
      <c r="BB336" t="inlineStr">
        <is>
          <t>9781931767026</t>
        </is>
      </c>
      <c r="BC336" t="inlineStr">
        <is>
          <t>32285004448972</t>
        </is>
      </c>
      <c r="BD336" t="inlineStr">
        <is>
          <t>893881456</t>
        </is>
      </c>
    </row>
    <row r="337">
      <c r="A337" t="inlineStr">
        <is>
          <t>No</t>
        </is>
      </c>
      <c r="B337" t="inlineStr">
        <is>
          <t>HV530 .C62 1999</t>
        </is>
      </c>
      <c r="C337" t="inlineStr">
        <is>
          <t>0                      HV 0530000C  62          1999</t>
        </is>
      </c>
      <c r="D337" t="inlineStr">
        <is>
          <t>The newer deal : social work and religion in partnership / Ram A. Cnaan with Robert J. Wineburg and Stephanie C. Boddie.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Cnaan, Ram A.</t>
        </is>
      </c>
      <c r="L337" t="inlineStr">
        <is>
          <t>New York : Columbia University Press, c1999.</t>
        </is>
      </c>
      <c r="M337" t="inlineStr">
        <is>
          <t>1999</t>
        </is>
      </c>
      <c r="O337" t="inlineStr">
        <is>
          <t>eng</t>
        </is>
      </c>
      <c r="P337" t="inlineStr">
        <is>
          <t>nyu</t>
        </is>
      </c>
      <c r="R337" t="inlineStr">
        <is>
          <t xml:space="preserve">HV </t>
        </is>
      </c>
      <c r="S337" t="n">
        <v>1</v>
      </c>
      <c r="T337" t="n">
        <v>1</v>
      </c>
      <c r="U337" t="inlineStr">
        <is>
          <t>2000-11-15</t>
        </is>
      </c>
      <c r="V337" t="inlineStr">
        <is>
          <t>2000-11-15</t>
        </is>
      </c>
      <c r="W337" t="inlineStr">
        <is>
          <t>2000-11-15</t>
        </is>
      </c>
      <c r="X337" t="inlineStr">
        <is>
          <t>2000-11-15</t>
        </is>
      </c>
      <c r="Y337" t="n">
        <v>406</v>
      </c>
      <c r="Z337" t="n">
        <v>357</v>
      </c>
      <c r="AA337" t="n">
        <v>362</v>
      </c>
      <c r="AB337" t="n">
        <v>4</v>
      </c>
      <c r="AC337" t="n">
        <v>4</v>
      </c>
      <c r="AD337" t="n">
        <v>20</v>
      </c>
      <c r="AE337" t="n">
        <v>20</v>
      </c>
      <c r="AF337" t="n">
        <v>7</v>
      </c>
      <c r="AG337" t="n">
        <v>7</v>
      </c>
      <c r="AH337" t="n">
        <v>3</v>
      </c>
      <c r="AI337" t="n">
        <v>3</v>
      </c>
      <c r="AJ337" t="n">
        <v>13</v>
      </c>
      <c r="AK337" t="n">
        <v>13</v>
      </c>
      <c r="AL337" t="n">
        <v>3</v>
      </c>
      <c r="AM337" t="n">
        <v>3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HYPERLINK("https://creighton-primo.hosted.exlibrisgroup.com/primo-explore/search?tab=default_tab&amp;search_scope=EVERYTHING&amp;vid=01CRU&amp;lang=en_US&amp;offset=0&amp;query=any,contains,991003313659702656","Catalog Record")</f>
        <v/>
      </c>
      <c r="AT337">
        <f>HYPERLINK("http://www.worldcat.org/oclc/41361488","WorldCat Record")</f>
        <v/>
      </c>
      <c r="AU337" t="inlineStr">
        <is>
          <t>1063553:eng</t>
        </is>
      </c>
      <c r="AV337" t="inlineStr">
        <is>
          <t>41361488</t>
        </is>
      </c>
      <c r="AW337" t="inlineStr">
        <is>
          <t>991003313659702656</t>
        </is>
      </c>
      <c r="AX337" t="inlineStr">
        <is>
          <t>991003313659702656</t>
        </is>
      </c>
      <c r="AY337" t="inlineStr">
        <is>
          <t>2272251570002656</t>
        </is>
      </c>
      <c r="AZ337" t="inlineStr">
        <is>
          <t>BOOK</t>
        </is>
      </c>
      <c r="BB337" t="inlineStr">
        <is>
          <t>9780231116244</t>
        </is>
      </c>
      <c r="BC337" t="inlineStr">
        <is>
          <t>32285004266127</t>
        </is>
      </c>
      <c r="BD337" t="inlineStr">
        <is>
          <t>893252246</t>
        </is>
      </c>
    </row>
    <row r="338">
      <c r="A338" t="inlineStr">
        <is>
          <t>No</t>
        </is>
      </c>
      <c r="B338" t="inlineStr">
        <is>
          <t>HV530 .D47 2006</t>
        </is>
      </c>
      <c r="C338" t="inlineStr">
        <is>
          <t>0                      HV 0530000D  47          2006</t>
        </is>
      </c>
      <c r="D338" t="inlineStr">
        <is>
          <t>Spiritually oriented social work practice / David S. Derezotes.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Derezotes, David S.</t>
        </is>
      </c>
      <c r="L338" t="inlineStr">
        <is>
          <t>Boston, MA : Pearson/Allyn and Bacon, c2006.</t>
        </is>
      </c>
      <c r="M338" t="inlineStr">
        <is>
          <t>2006</t>
        </is>
      </c>
      <c r="O338" t="inlineStr">
        <is>
          <t>eng</t>
        </is>
      </c>
      <c r="P338" t="inlineStr">
        <is>
          <t>mau</t>
        </is>
      </c>
      <c r="R338" t="inlineStr">
        <is>
          <t xml:space="preserve">HV </t>
        </is>
      </c>
      <c r="S338" t="n">
        <v>3</v>
      </c>
      <c r="T338" t="n">
        <v>3</v>
      </c>
      <c r="U338" t="inlineStr">
        <is>
          <t>2006-09-06</t>
        </is>
      </c>
      <c r="V338" t="inlineStr">
        <is>
          <t>2006-09-06</t>
        </is>
      </c>
      <c r="W338" t="inlineStr">
        <is>
          <t>2006-05-24</t>
        </is>
      </c>
      <c r="X338" t="inlineStr">
        <is>
          <t>2006-05-24</t>
        </is>
      </c>
      <c r="Y338" t="n">
        <v>181</v>
      </c>
      <c r="Z338" t="n">
        <v>138</v>
      </c>
      <c r="AA338" t="n">
        <v>140</v>
      </c>
      <c r="AB338" t="n">
        <v>1</v>
      </c>
      <c r="AC338" t="n">
        <v>1</v>
      </c>
      <c r="AD338" t="n">
        <v>6</v>
      </c>
      <c r="AE338" t="n">
        <v>6</v>
      </c>
      <c r="AF338" t="n">
        <v>1</v>
      </c>
      <c r="AG338" t="n">
        <v>1</v>
      </c>
      <c r="AH338" t="n">
        <v>2</v>
      </c>
      <c r="AI338" t="n">
        <v>2</v>
      </c>
      <c r="AJ338" t="n">
        <v>5</v>
      </c>
      <c r="AK338" t="n">
        <v>5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HYPERLINK("http://catalog.hathitrust.org/Record/005115108","HathiTrust Record")</f>
        <v/>
      </c>
      <c r="AS338">
        <f>HYPERLINK("https://creighton-primo.hosted.exlibrisgroup.com/primo-explore/search?tab=default_tab&amp;search_scope=EVERYTHING&amp;vid=01CRU&amp;lang=en_US&amp;offset=0&amp;query=any,contains,991004680919702656","Catalog Record")</f>
        <v/>
      </c>
      <c r="AT338">
        <f>HYPERLINK("http://www.worldcat.org/oclc/61704855","WorldCat Record")</f>
        <v/>
      </c>
      <c r="AU338" t="inlineStr">
        <is>
          <t>46245754:eng</t>
        </is>
      </c>
      <c r="AV338" t="inlineStr">
        <is>
          <t>61704855</t>
        </is>
      </c>
      <c r="AW338" t="inlineStr">
        <is>
          <t>991004680919702656</t>
        </is>
      </c>
      <c r="AX338" t="inlineStr">
        <is>
          <t>991004680919702656</t>
        </is>
      </c>
      <c r="AY338" t="inlineStr">
        <is>
          <t>2259808880002656</t>
        </is>
      </c>
      <c r="AZ338" t="inlineStr">
        <is>
          <t>BOOK</t>
        </is>
      </c>
      <c r="BB338" t="inlineStr">
        <is>
          <t>9780205420407</t>
        </is>
      </c>
      <c r="BC338" t="inlineStr">
        <is>
          <t>32285005189062</t>
        </is>
      </c>
      <c r="BD338" t="inlineStr">
        <is>
          <t>893417870</t>
        </is>
      </c>
    </row>
    <row r="339">
      <c r="A339" t="inlineStr">
        <is>
          <t>No</t>
        </is>
      </c>
      <c r="B339" t="inlineStr">
        <is>
          <t>HV530 .F35 2006</t>
        </is>
      </c>
      <c r="C339" t="inlineStr">
        <is>
          <t>0                      HV 0530000F  35          2006</t>
        </is>
      </c>
      <c r="D339" t="inlineStr">
        <is>
          <t>Faith-based social services : measures, assessments, and effectiveness / Stephanie C. Boddie, Ram A. Cnaan, editors.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New York : Haworth Pastoral Press, 2006.</t>
        </is>
      </c>
      <c r="M339" t="inlineStr">
        <is>
          <t>2006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HV </t>
        </is>
      </c>
      <c r="S339" t="n">
        <v>2</v>
      </c>
      <c r="T339" t="n">
        <v>2</v>
      </c>
      <c r="U339" t="inlineStr">
        <is>
          <t>2008-10-28</t>
        </is>
      </c>
      <c r="V339" t="inlineStr">
        <is>
          <t>2008-10-28</t>
        </is>
      </c>
      <c r="W339" t="inlineStr">
        <is>
          <t>2008-10-28</t>
        </is>
      </c>
      <c r="X339" t="inlineStr">
        <is>
          <t>2008-10-28</t>
        </is>
      </c>
      <c r="Y339" t="n">
        <v>119</v>
      </c>
      <c r="Z339" t="n">
        <v>94</v>
      </c>
      <c r="AA339" t="n">
        <v>121</v>
      </c>
      <c r="AB339" t="n">
        <v>2</v>
      </c>
      <c r="AC339" t="n">
        <v>3</v>
      </c>
      <c r="AD339" t="n">
        <v>2</v>
      </c>
      <c r="AE339" t="n">
        <v>3</v>
      </c>
      <c r="AF339" t="n">
        <v>0</v>
      </c>
      <c r="AG339" t="n">
        <v>0</v>
      </c>
      <c r="AH339" t="n">
        <v>0</v>
      </c>
      <c r="AI339" t="n">
        <v>0</v>
      </c>
      <c r="AJ339" t="n">
        <v>1</v>
      </c>
      <c r="AK339" t="n">
        <v>1</v>
      </c>
      <c r="AL339" t="n">
        <v>1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HYPERLINK("http://catalog.hathitrust.org/Record/007577242","HathiTrust Record")</f>
        <v/>
      </c>
      <c r="AS339">
        <f>HYPERLINK("https://creighton-primo.hosted.exlibrisgroup.com/primo-explore/search?tab=default_tab&amp;search_scope=EVERYTHING&amp;vid=01CRU&amp;lang=en_US&amp;offset=0&amp;query=any,contains,991005269569702656","Catalog Record")</f>
        <v/>
      </c>
      <c r="AT339">
        <f>HYPERLINK("http://www.worldcat.org/oclc/71778920","WorldCat Record")</f>
        <v/>
      </c>
      <c r="AU339" t="inlineStr">
        <is>
          <t>484497372:eng</t>
        </is>
      </c>
      <c r="AV339" t="inlineStr">
        <is>
          <t>71778920</t>
        </is>
      </c>
      <c r="AW339" t="inlineStr">
        <is>
          <t>991005269569702656</t>
        </is>
      </c>
      <c r="AX339" t="inlineStr">
        <is>
          <t>991005269569702656</t>
        </is>
      </c>
      <c r="AY339" t="inlineStr">
        <is>
          <t>2258747110002656</t>
        </is>
      </c>
      <c r="AZ339" t="inlineStr">
        <is>
          <t>BOOK</t>
        </is>
      </c>
      <c r="BB339" t="inlineStr">
        <is>
          <t>9780789035233</t>
        </is>
      </c>
      <c r="BC339" t="inlineStr">
        <is>
          <t>32285005464879</t>
        </is>
      </c>
      <c r="BD339" t="inlineStr">
        <is>
          <t>893883597</t>
        </is>
      </c>
    </row>
    <row r="340">
      <c r="A340" t="inlineStr">
        <is>
          <t>No</t>
        </is>
      </c>
      <c r="B340" t="inlineStr">
        <is>
          <t>HV530 .F87 2010</t>
        </is>
      </c>
      <c r="C340" t="inlineStr">
        <is>
          <t>0                      HV 0530000F  87          2010</t>
        </is>
      </c>
      <c r="D340" t="inlineStr">
        <is>
          <t>Religion, belief and social work : making a difference / Sheila Furness and Philip Gilligan.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Furness, Sheila.</t>
        </is>
      </c>
      <c r="L340" t="inlineStr">
        <is>
          <t>Bristol : Policy, c2010.</t>
        </is>
      </c>
      <c r="M340" t="inlineStr">
        <is>
          <t>2010</t>
        </is>
      </c>
      <c r="O340" t="inlineStr">
        <is>
          <t>eng</t>
        </is>
      </c>
      <c r="P340" t="inlineStr">
        <is>
          <t>enk</t>
        </is>
      </c>
      <c r="Q340" t="inlineStr">
        <is>
          <t>Social work in practice series</t>
        </is>
      </c>
      <c r="R340" t="inlineStr">
        <is>
          <t xml:space="preserve">HV </t>
        </is>
      </c>
      <c r="S340" t="n">
        <v>1</v>
      </c>
      <c r="T340" t="n">
        <v>1</v>
      </c>
      <c r="U340" t="inlineStr">
        <is>
          <t>2010-11-11</t>
        </is>
      </c>
      <c r="V340" t="inlineStr">
        <is>
          <t>2010-11-11</t>
        </is>
      </c>
      <c r="W340" t="inlineStr">
        <is>
          <t>2010-10-13</t>
        </is>
      </c>
      <c r="X340" t="inlineStr">
        <is>
          <t>2010-10-13</t>
        </is>
      </c>
      <c r="Y340" t="n">
        <v>164</v>
      </c>
      <c r="Z340" t="n">
        <v>75</v>
      </c>
      <c r="AA340" t="n">
        <v>92</v>
      </c>
      <c r="AB340" t="n">
        <v>1</v>
      </c>
      <c r="AC340" t="n">
        <v>1</v>
      </c>
      <c r="AD340" t="n">
        <v>2</v>
      </c>
      <c r="AE340" t="n">
        <v>2</v>
      </c>
      <c r="AF340" t="n">
        <v>0</v>
      </c>
      <c r="AG340" t="n">
        <v>0</v>
      </c>
      <c r="AH340" t="n">
        <v>1</v>
      </c>
      <c r="AI340" t="n">
        <v>1</v>
      </c>
      <c r="AJ340" t="n">
        <v>2</v>
      </c>
      <c r="AK340" t="n">
        <v>2</v>
      </c>
      <c r="AL340" t="n">
        <v>0</v>
      </c>
      <c r="AM340" t="n">
        <v>0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HYPERLINK("https://creighton-primo.hosted.exlibrisgroup.com/primo-explore/search?tab=default_tab&amp;search_scope=EVERYTHING&amp;vid=01CRU&amp;lang=en_US&amp;offset=0&amp;query=any,contains,991000178589702656","Catalog Record")</f>
        <v/>
      </c>
      <c r="AT340">
        <f>HYPERLINK("http://www.worldcat.org/oclc/432408745","WorldCat Record")</f>
        <v/>
      </c>
      <c r="AU340" t="inlineStr">
        <is>
          <t>858018036:eng</t>
        </is>
      </c>
      <c r="AV340" t="inlineStr">
        <is>
          <t>432408745</t>
        </is>
      </c>
      <c r="AW340" t="inlineStr">
        <is>
          <t>991000178589702656</t>
        </is>
      </c>
      <c r="AX340" t="inlineStr">
        <is>
          <t>991000178589702656</t>
        </is>
      </c>
      <c r="AY340" t="inlineStr">
        <is>
          <t>2259010210002656</t>
        </is>
      </c>
      <c r="AZ340" t="inlineStr">
        <is>
          <t>BOOK</t>
        </is>
      </c>
      <c r="BB340" t="inlineStr">
        <is>
          <t>9781861349811</t>
        </is>
      </c>
      <c r="BC340" t="inlineStr">
        <is>
          <t>32285005600951</t>
        </is>
      </c>
      <c r="BD340" t="inlineStr">
        <is>
          <t>893508583</t>
        </is>
      </c>
    </row>
    <row r="341">
      <c r="A341" t="inlineStr">
        <is>
          <t>No</t>
        </is>
      </c>
      <c r="B341" t="inlineStr">
        <is>
          <t>HV530 .S25 2001</t>
        </is>
      </c>
      <c r="C341" t="inlineStr">
        <is>
          <t>0                      HV 0530000S  25          2001</t>
        </is>
      </c>
      <c r="D341" t="inlineStr">
        <is>
          <t>Sacred places, civic purposes : should government help faith-based charity? / E.J. Dionne and Ming Hsu Chen, editors.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Washington, D.C. : Brookings Institution Press, c2001.</t>
        </is>
      </c>
      <c r="M341" t="inlineStr">
        <is>
          <t>2001</t>
        </is>
      </c>
      <c r="O341" t="inlineStr">
        <is>
          <t>eng</t>
        </is>
      </c>
      <c r="P341" t="inlineStr">
        <is>
          <t>dcu</t>
        </is>
      </c>
      <c r="R341" t="inlineStr">
        <is>
          <t xml:space="preserve">HV </t>
        </is>
      </c>
      <c r="S341" t="n">
        <v>3</v>
      </c>
      <c r="T341" t="n">
        <v>3</v>
      </c>
      <c r="U341" t="inlineStr">
        <is>
          <t>2002-09-03</t>
        </is>
      </c>
      <c r="V341" t="inlineStr">
        <is>
          <t>2002-09-03</t>
        </is>
      </c>
      <c r="W341" t="inlineStr">
        <is>
          <t>2002-02-11</t>
        </is>
      </c>
      <c r="X341" t="inlineStr">
        <is>
          <t>2002-02-11</t>
        </is>
      </c>
      <c r="Y341" t="n">
        <v>600</v>
      </c>
      <c r="Z341" t="n">
        <v>546</v>
      </c>
      <c r="AA341" t="n">
        <v>1187</v>
      </c>
      <c r="AB341" t="n">
        <v>4</v>
      </c>
      <c r="AC341" t="n">
        <v>8</v>
      </c>
      <c r="AD341" t="n">
        <v>26</v>
      </c>
      <c r="AE341" t="n">
        <v>41</v>
      </c>
      <c r="AF341" t="n">
        <v>8</v>
      </c>
      <c r="AG341" t="n">
        <v>14</v>
      </c>
      <c r="AH341" t="n">
        <v>6</v>
      </c>
      <c r="AI341" t="n">
        <v>9</v>
      </c>
      <c r="AJ341" t="n">
        <v>13</v>
      </c>
      <c r="AK341" t="n">
        <v>16</v>
      </c>
      <c r="AL341" t="n">
        <v>3</v>
      </c>
      <c r="AM341" t="n">
        <v>7</v>
      </c>
      <c r="AN341" t="n">
        <v>2</v>
      </c>
      <c r="AO341" t="n">
        <v>3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HYPERLINK("http://catalog.hathitrust.org/Record/004199249","HathiTrust Record")</f>
        <v/>
      </c>
      <c r="AS341">
        <f>HYPERLINK("https://creighton-primo.hosted.exlibrisgroup.com/primo-explore/search?tab=default_tab&amp;search_scope=EVERYTHING&amp;vid=01CRU&amp;lang=en_US&amp;offset=0&amp;query=any,contains,991003733929702656","Catalog Record")</f>
        <v/>
      </c>
      <c r="AT341">
        <f>HYPERLINK("http://www.worldcat.org/oclc/48144322","WorldCat Record")</f>
        <v/>
      </c>
      <c r="AU341" t="inlineStr">
        <is>
          <t>793898450:eng</t>
        </is>
      </c>
      <c r="AV341" t="inlineStr">
        <is>
          <t>48144322</t>
        </is>
      </c>
      <c r="AW341" t="inlineStr">
        <is>
          <t>991003733929702656</t>
        </is>
      </c>
      <c r="AX341" t="inlineStr">
        <is>
          <t>991003733929702656</t>
        </is>
      </c>
      <c r="AY341" t="inlineStr">
        <is>
          <t>2255513090002656</t>
        </is>
      </c>
      <c r="AZ341" t="inlineStr">
        <is>
          <t>BOOK</t>
        </is>
      </c>
      <c r="BB341" t="inlineStr">
        <is>
          <t>9780815702597</t>
        </is>
      </c>
      <c r="BC341" t="inlineStr">
        <is>
          <t>32285004453634</t>
        </is>
      </c>
      <c r="BD341" t="inlineStr">
        <is>
          <t>893881482</t>
        </is>
      </c>
    </row>
    <row r="342">
      <c r="A342" t="inlineStr">
        <is>
          <t>No</t>
        </is>
      </c>
      <c r="B342" t="inlineStr">
        <is>
          <t>HV530 .S42 2001</t>
        </is>
      </c>
      <c r="C342" t="inlineStr">
        <is>
          <t>0                      HV 0530000S  42          2001</t>
        </is>
      </c>
      <c r="D342" t="inlineStr">
        <is>
          <t>Sharing the tradition, shaping the future : a faith sharing experience for Christian communities / Catholic Campaign for Human Development.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Campaign for Human Development.</t>
        </is>
      </c>
      <c r="L342" t="inlineStr">
        <is>
          <t>Washington, D.C. : United States Conference of Catholic Bishops, c2001.</t>
        </is>
      </c>
      <c r="M342" t="inlineStr">
        <is>
          <t>2001</t>
        </is>
      </c>
      <c r="N342" t="inlineStr">
        <is>
          <t>Rev. ed.</t>
        </is>
      </c>
      <c r="O342" t="inlineStr">
        <is>
          <t>eng</t>
        </is>
      </c>
      <c r="P342" t="inlineStr">
        <is>
          <t>dcu</t>
        </is>
      </c>
      <c r="Q342" t="inlineStr">
        <is>
          <t>Publication (United States Conference of Catholic Bishops) ; no. 5-451</t>
        </is>
      </c>
      <c r="R342" t="inlineStr">
        <is>
          <t xml:space="preserve">HV </t>
        </is>
      </c>
      <c r="S342" t="n">
        <v>2</v>
      </c>
      <c r="T342" t="n">
        <v>2</v>
      </c>
      <c r="U342" t="inlineStr">
        <is>
          <t>2005-03-02</t>
        </is>
      </c>
      <c r="V342" t="inlineStr">
        <is>
          <t>2005-03-02</t>
        </is>
      </c>
      <c r="W342" t="inlineStr">
        <is>
          <t>2001-09-19</t>
        </is>
      </c>
      <c r="X342" t="inlineStr">
        <is>
          <t>2001-09-19</t>
        </is>
      </c>
      <c r="Y342" t="n">
        <v>51</v>
      </c>
      <c r="Z342" t="n">
        <v>49</v>
      </c>
      <c r="AA342" t="n">
        <v>49</v>
      </c>
      <c r="AB342" t="n">
        <v>1</v>
      </c>
      <c r="AC342" t="n">
        <v>1</v>
      </c>
      <c r="AD342" t="n">
        <v>10</v>
      </c>
      <c r="AE342" t="n">
        <v>10</v>
      </c>
      <c r="AF342" t="n">
        <v>2</v>
      </c>
      <c r="AG342" t="n">
        <v>2</v>
      </c>
      <c r="AH342" t="n">
        <v>3</v>
      </c>
      <c r="AI342" t="n">
        <v>3</v>
      </c>
      <c r="AJ342" t="n">
        <v>7</v>
      </c>
      <c r="AK342" t="n">
        <v>7</v>
      </c>
      <c r="AL342" t="n">
        <v>0</v>
      </c>
      <c r="AM342" t="n">
        <v>0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HYPERLINK("https://creighton-primo.hosted.exlibrisgroup.com/primo-explore/search?tab=default_tab&amp;search_scope=EVERYTHING&amp;vid=01CRU&amp;lang=en_US&amp;offset=0&amp;query=any,contains,991003631279702656","Catalog Record")</f>
        <v/>
      </c>
      <c r="AT342">
        <f>HYPERLINK("http://www.worldcat.org/oclc/47978113","WorldCat Record")</f>
        <v/>
      </c>
      <c r="AU342" t="inlineStr">
        <is>
          <t>37312286:eng</t>
        </is>
      </c>
      <c r="AV342" t="inlineStr">
        <is>
          <t>47978113</t>
        </is>
      </c>
      <c r="AW342" t="inlineStr">
        <is>
          <t>991003631279702656</t>
        </is>
      </c>
      <c r="AX342" t="inlineStr">
        <is>
          <t>991003631279702656</t>
        </is>
      </c>
      <c r="AY342" t="inlineStr">
        <is>
          <t>2265062060002656</t>
        </is>
      </c>
      <c r="AZ342" t="inlineStr">
        <is>
          <t>BOOK</t>
        </is>
      </c>
      <c r="BB342" t="inlineStr">
        <is>
          <t>9781574554519</t>
        </is>
      </c>
      <c r="BC342" t="inlineStr">
        <is>
          <t>32285004392634</t>
        </is>
      </c>
      <c r="BD342" t="inlineStr">
        <is>
          <t>893592711</t>
        </is>
      </c>
    </row>
    <row r="343">
      <c r="A343" t="inlineStr">
        <is>
          <t>No</t>
        </is>
      </c>
      <c r="B343" t="inlineStr">
        <is>
          <t>HV530 .S54 2002</t>
        </is>
      </c>
      <c r="C343" t="inlineStr">
        <is>
          <t>0                      HV 0530000S  54          2002</t>
        </is>
      </c>
      <c r="D343" t="inlineStr">
        <is>
          <t>Reinvigorating faith in communities / [Amy L. Sherman].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Sherman, Amy L., 1965-</t>
        </is>
      </c>
      <c r="L343" t="inlineStr">
        <is>
          <t>Fishers, IN : Hudson Institute, c2002.</t>
        </is>
      </c>
      <c r="M343" t="inlineStr">
        <is>
          <t>2002</t>
        </is>
      </c>
      <c r="O343" t="inlineStr">
        <is>
          <t>eng</t>
        </is>
      </c>
      <c r="P343" t="inlineStr">
        <is>
          <t>inu</t>
        </is>
      </c>
      <c r="R343" t="inlineStr">
        <is>
          <t xml:space="preserve">HV </t>
        </is>
      </c>
      <c r="S343" t="n">
        <v>2</v>
      </c>
      <c r="T343" t="n">
        <v>2</v>
      </c>
      <c r="U343" t="inlineStr">
        <is>
          <t>2006-09-27</t>
        </is>
      </c>
      <c r="V343" t="inlineStr">
        <is>
          <t>2006-09-27</t>
        </is>
      </c>
      <c r="W343" t="inlineStr">
        <is>
          <t>2003-11-06</t>
        </is>
      </c>
      <c r="X343" t="inlineStr">
        <is>
          <t>2003-11-06</t>
        </is>
      </c>
      <c r="Y343" t="n">
        <v>110</v>
      </c>
      <c r="Z343" t="n">
        <v>94</v>
      </c>
      <c r="AA343" t="n">
        <v>94</v>
      </c>
      <c r="AB343" t="n">
        <v>1</v>
      </c>
      <c r="AC343" t="n">
        <v>1</v>
      </c>
      <c r="AD343" t="n">
        <v>6</v>
      </c>
      <c r="AE343" t="n">
        <v>6</v>
      </c>
      <c r="AF343" t="n">
        <v>2</v>
      </c>
      <c r="AG343" t="n">
        <v>2</v>
      </c>
      <c r="AH343" t="n">
        <v>3</v>
      </c>
      <c r="AI343" t="n">
        <v>3</v>
      </c>
      <c r="AJ343" t="n">
        <v>3</v>
      </c>
      <c r="AK343" t="n">
        <v>3</v>
      </c>
      <c r="AL343" t="n">
        <v>0</v>
      </c>
      <c r="AM343" t="n">
        <v>0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HYPERLINK("https://creighton-primo.hosted.exlibrisgroup.com/primo-explore/search?tab=default_tab&amp;search_scope=EVERYTHING&amp;vid=01CRU&amp;lang=en_US&amp;offset=0&amp;query=any,contains,991004097679702656","Catalog Record")</f>
        <v/>
      </c>
      <c r="AT343">
        <f>HYPERLINK("http://www.worldcat.org/oclc/49757652","WorldCat Record")</f>
        <v/>
      </c>
      <c r="AU343" t="inlineStr">
        <is>
          <t>1047225:eng</t>
        </is>
      </c>
      <c r="AV343" t="inlineStr">
        <is>
          <t>49757652</t>
        </is>
      </c>
      <c r="AW343" t="inlineStr">
        <is>
          <t>991004097679702656</t>
        </is>
      </c>
      <c r="AX343" t="inlineStr">
        <is>
          <t>991004097679702656</t>
        </is>
      </c>
      <c r="AY343" t="inlineStr">
        <is>
          <t>2267241360002656</t>
        </is>
      </c>
      <c r="AZ343" t="inlineStr">
        <is>
          <t>BOOK</t>
        </is>
      </c>
      <c r="BB343" t="inlineStr">
        <is>
          <t>9781558133709</t>
        </is>
      </c>
      <c r="BC343" t="inlineStr">
        <is>
          <t>32285004794771</t>
        </is>
      </c>
      <c r="BD343" t="inlineStr">
        <is>
          <t>893411117</t>
        </is>
      </c>
    </row>
    <row r="344">
      <c r="A344" t="inlineStr">
        <is>
          <t>No</t>
        </is>
      </c>
      <c r="B344" t="inlineStr">
        <is>
          <t>HV530 .S56 2009</t>
        </is>
      </c>
      <c r="C344" t="inlineStr">
        <is>
          <t>0                      HV 0530000S  56          2009</t>
        </is>
      </c>
      <c r="D344" t="inlineStr">
        <is>
          <t>Social security in religious networks : anthropological perspectives on new risks and ambivalences / edited by Carolin Leutloff-Grandits, Anja Peleikis and Tatjana Thelen.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L344" t="inlineStr">
        <is>
          <t>New York : Berghahn Books, 2009.</t>
        </is>
      </c>
      <c r="M344" t="inlineStr">
        <is>
          <t>2009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HV </t>
        </is>
      </c>
      <c r="S344" t="n">
        <v>1</v>
      </c>
      <c r="T344" t="n">
        <v>1</v>
      </c>
      <c r="U344" t="inlineStr">
        <is>
          <t>2010-10-11</t>
        </is>
      </c>
      <c r="V344" t="inlineStr">
        <is>
          <t>2010-10-11</t>
        </is>
      </c>
      <c r="W344" t="inlineStr">
        <is>
          <t>2010-10-11</t>
        </is>
      </c>
      <c r="X344" t="inlineStr">
        <is>
          <t>2010-10-11</t>
        </is>
      </c>
      <c r="Y344" t="n">
        <v>108</v>
      </c>
      <c r="Z344" t="n">
        <v>69</v>
      </c>
      <c r="AA344" t="n">
        <v>352</v>
      </c>
      <c r="AB344" t="n">
        <v>1</v>
      </c>
      <c r="AC344" t="n">
        <v>2</v>
      </c>
      <c r="AD344" t="n">
        <v>2</v>
      </c>
      <c r="AE344" t="n">
        <v>17</v>
      </c>
      <c r="AF344" t="n">
        <v>0</v>
      </c>
      <c r="AG344" t="n">
        <v>7</v>
      </c>
      <c r="AH344" t="n">
        <v>2</v>
      </c>
      <c r="AI344" t="n">
        <v>6</v>
      </c>
      <c r="AJ344" t="n">
        <v>2</v>
      </c>
      <c r="AK344" t="n">
        <v>9</v>
      </c>
      <c r="AL344" t="n">
        <v>0</v>
      </c>
      <c r="AM344" t="n">
        <v>1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HYPERLINK("https://creighton-primo.hosted.exlibrisgroup.com/primo-explore/search?tab=default_tab&amp;search_scope=EVERYTHING&amp;vid=01CRU&amp;lang=en_US&amp;offset=0&amp;query=any,contains,991000173109702656","Catalog Record")</f>
        <v/>
      </c>
      <c r="AT344">
        <f>HYPERLINK("http://www.worldcat.org/oclc/230182621","WorldCat Record")</f>
        <v/>
      </c>
      <c r="AU344" t="inlineStr">
        <is>
          <t>1011503277:eng</t>
        </is>
      </c>
      <c r="AV344" t="inlineStr">
        <is>
          <t>230182621</t>
        </is>
      </c>
      <c r="AW344" t="inlineStr">
        <is>
          <t>991000173109702656</t>
        </is>
      </c>
      <c r="AX344" t="inlineStr">
        <is>
          <t>991000173109702656</t>
        </is>
      </c>
      <c r="AY344" t="inlineStr">
        <is>
          <t>2256943470002656</t>
        </is>
      </c>
      <c r="AZ344" t="inlineStr">
        <is>
          <t>BOOK</t>
        </is>
      </c>
      <c r="BB344" t="inlineStr">
        <is>
          <t>9781845455767</t>
        </is>
      </c>
      <c r="BC344" t="inlineStr">
        <is>
          <t>32285005599955</t>
        </is>
      </c>
      <c r="BD344" t="inlineStr">
        <is>
          <t>893890484</t>
        </is>
      </c>
    </row>
    <row r="345">
      <c r="A345" t="inlineStr">
        <is>
          <t>No</t>
        </is>
      </c>
      <c r="B345" t="inlineStr">
        <is>
          <t>HV530 .S67 1998</t>
        </is>
      </c>
      <c r="C345" t="inlineStr">
        <is>
          <t>0                      HV 0530000S  67          1998</t>
        </is>
      </c>
      <c r="D345" t="inlineStr">
        <is>
          <t>Spirituality in social work : new directions / Edward R. Canda, editor.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L345" t="inlineStr">
        <is>
          <t>New York : Haworth Pastoral Press, c1998.</t>
        </is>
      </c>
      <c r="M345" t="inlineStr">
        <is>
          <t>1998</t>
        </is>
      </c>
      <c r="O345" t="inlineStr">
        <is>
          <t>eng</t>
        </is>
      </c>
      <c r="P345" t="inlineStr">
        <is>
          <t>nyu</t>
        </is>
      </c>
      <c r="R345" t="inlineStr">
        <is>
          <t xml:space="preserve">HV </t>
        </is>
      </c>
      <c r="S345" t="n">
        <v>1</v>
      </c>
      <c r="T345" t="n">
        <v>1</v>
      </c>
      <c r="U345" t="inlineStr">
        <is>
          <t>2004-06-16</t>
        </is>
      </c>
      <c r="V345" t="inlineStr">
        <is>
          <t>2004-06-16</t>
        </is>
      </c>
      <c r="W345" t="inlineStr">
        <is>
          <t>1998-08-25</t>
        </is>
      </c>
      <c r="X345" t="inlineStr">
        <is>
          <t>1998-08-25</t>
        </is>
      </c>
      <c r="Y345" t="n">
        <v>197</v>
      </c>
      <c r="Z345" t="n">
        <v>166</v>
      </c>
      <c r="AA345" t="n">
        <v>199</v>
      </c>
      <c r="AB345" t="n">
        <v>2</v>
      </c>
      <c r="AC345" t="n">
        <v>2</v>
      </c>
      <c r="AD345" t="n">
        <v>10</v>
      </c>
      <c r="AE345" t="n">
        <v>10</v>
      </c>
      <c r="AF345" t="n">
        <v>4</v>
      </c>
      <c r="AG345" t="n">
        <v>4</v>
      </c>
      <c r="AH345" t="n">
        <v>2</v>
      </c>
      <c r="AI345" t="n">
        <v>2</v>
      </c>
      <c r="AJ345" t="n">
        <v>6</v>
      </c>
      <c r="AK345" t="n">
        <v>6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HYPERLINK("http://catalog.hathitrust.org/Record/003999770","HathiTrust Record")</f>
        <v/>
      </c>
      <c r="AS345">
        <f>HYPERLINK("https://creighton-primo.hosted.exlibrisgroup.com/primo-explore/search?tab=default_tab&amp;search_scope=EVERYTHING&amp;vid=01CRU&amp;lang=en_US&amp;offset=0&amp;query=any,contains,991002923249702656","Catalog Record")</f>
        <v/>
      </c>
      <c r="AT345">
        <f>HYPERLINK("http://www.worldcat.org/oclc/38853951","WorldCat Record")</f>
        <v/>
      </c>
      <c r="AU345" t="inlineStr">
        <is>
          <t>865161945:eng</t>
        </is>
      </c>
      <c r="AV345" t="inlineStr">
        <is>
          <t>38853951</t>
        </is>
      </c>
      <c r="AW345" t="inlineStr">
        <is>
          <t>991002923249702656</t>
        </is>
      </c>
      <c r="AX345" t="inlineStr">
        <is>
          <t>991002923249702656</t>
        </is>
      </c>
      <c r="AY345" t="inlineStr">
        <is>
          <t>2272587480002656</t>
        </is>
      </c>
      <c r="AZ345" t="inlineStr">
        <is>
          <t>BOOK</t>
        </is>
      </c>
      <c r="BB345" t="inlineStr">
        <is>
          <t>9780789005151</t>
        </is>
      </c>
      <c r="BC345" t="inlineStr">
        <is>
          <t>32285003461737</t>
        </is>
      </c>
      <c r="BD345" t="inlineStr">
        <is>
          <t>893498715</t>
        </is>
      </c>
    </row>
    <row r="346">
      <c r="A346" t="inlineStr">
        <is>
          <t>No</t>
        </is>
      </c>
      <c r="B346" t="inlineStr">
        <is>
          <t>HV530 .W56 2001</t>
        </is>
      </c>
      <c r="C346" t="inlineStr">
        <is>
          <t>0                      HV 0530000W  56          2001</t>
        </is>
      </c>
      <c r="D346" t="inlineStr">
        <is>
          <t>A limited partnership : the politics of religion, welfare, and social service / Bob Wineburg.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Wineburg, Robert J.</t>
        </is>
      </c>
      <c r="L346" t="inlineStr">
        <is>
          <t>New York : Columbia University Press, c2001.</t>
        </is>
      </c>
      <c r="M346" t="inlineStr">
        <is>
          <t>2001</t>
        </is>
      </c>
      <c r="O346" t="inlineStr">
        <is>
          <t>eng</t>
        </is>
      </c>
      <c r="P346" t="inlineStr">
        <is>
          <t>nyu</t>
        </is>
      </c>
      <c r="R346" t="inlineStr">
        <is>
          <t xml:space="preserve">HV </t>
        </is>
      </c>
      <c r="S346" t="n">
        <v>1</v>
      </c>
      <c r="T346" t="n">
        <v>1</v>
      </c>
      <c r="U346" t="inlineStr">
        <is>
          <t>2001-10-14</t>
        </is>
      </c>
      <c r="V346" t="inlineStr">
        <is>
          <t>2001-10-14</t>
        </is>
      </c>
      <c r="W346" t="inlineStr">
        <is>
          <t>2001-10-14</t>
        </is>
      </c>
      <c r="X346" t="inlineStr">
        <is>
          <t>2001-10-14</t>
        </is>
      </c>
      <c r="Y346" t="n">
        <v>450</v>
      </c>
      <c r="Z346" t="n">
        <v>408</v>
      </c>
      <c r="AA346" t="n">
        <v>1125</v>
      </c>
      <c r="AB346" t="n">
        <v>4</v>
      </c>
      <c r="AC346" t="n">
        <v>27</v>
      </c>
      <c r="AD346" t="n">
        <v>27</v>
      </c>
      <c r="AE346" t="n">
        <v>49</v>
      </c>
      <c r="AF346" t="n">
        <v>13</v>
      </c>
      <c r="AG346" t="n">
        <v>20</v>
      </c>
      <c r="AH346" t="n">
        <v>6</v>
      </c>
      <c r="AI346" t="n">
        <v>9</v>
      </c>
      <c r="AJ346" t="n">
        <v>11</v>
      </c>
      <c r="AK346" t="n">
        <v>18</v>
      </c>
      <c r="AL346" t="n">
        <v>3</v>
      </c>
      <c r="AM346" t="n">
        <v>12</v>
      </c>
      <c r="AN346" t="n">
        <v>1</v>
      </c>
      <c r="AO346" t="n">
        <v>1</v>
      </c>
      <c r="AP346" t="inlineStr">
        <is>
          <t>No</t>
        </is>
      </c>
      <c r="AQ346" t="inlineStr">
        <is>
          <t>No</t>
        </is>
      </c>
      <c r="AS346">
        <f>HYPERLINK("https://creighton-primo.hosted.exlibrisgroup.com/primo-explore/search?tab=default_tab&amp;search_scope=EVERYTHING&amp;vid=01CRU&amp;lang=en_US&amp;offset=0&amp;query=any,contains,991003625319702656","Catalog Record")</f>
        <v/>
      </c>
      <c r="AT346">
        <f>HYPERLINK("http://www.worldcat.org/oclc/45058873","WorldCat Record")</f>
        <v/>
      </c>
      <c r="AU346" t="inlineStr">
        <is>
          <t>800267073:eng</t>
        </is>
      </c>
      <c r="AV346" t="inlineStr">
        <is>
          <t>45058873</t>
        </is>
      </c>
      <c r="AW346" t="inlineStr">
        <is>
          <t>991003625319702656</t>
        </is>
      </c>
      <c r="AX346" t="inlineStr">
        <is>
          <t>991003625319702656</t>
        </is>
      </c>
      <c r="AY346" t="inlineStr">
        <is>
          <t>2257157630002656</t>
        </is>
      </c>
      <c r="AZ346" t="inlineStr">
        <is>
          <t>BOOK</t>
        </is>
      </c>
      <c r="BB346" t="inlineStr">
        <is>
          <t>9780231120845</t>
        </is>
      </c>
      <c r="BC346" t="inlineStr">
        <is>
          <t>32285004396114</t>
        </is>
      </c>
      <c r="BD346" t="inlineStr">
        <is>
          <t>893324275</t>
        </is>
      </c>
    </row>
    <row r="347">
      <c r="A347" t="inlineStr">
        <is>
          <t>No</t>
        </is>
      </c>
      <c r="B347" t="inlineStr">
        <is>
          <t>HV5303 .A58</t>
        </is>
      </c>
      <c r="C347" t="inlineStr">
        <is>
          <t>0                      HV 5303000A  58</t>
        </is>
      </c>
      <c r="D347" t="inlineStr">
        <is>
          <t>A decade of alcoholism research : a review of the research activities of the Alcoholism and Drug Addiction Research Foundation of Ontario, 1951-1961 / by Robert E. Popham &amp; Wolfgang Schmidt.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Addiction Research Foundation of Ontario.</t>
        </is>
      </c>
      <c r="L347" t="inlineStr">
        <is>
          <t>Toronto : University of Toronto Press, 1962.</t>
        </is>
      </c>
      <c r="M347" t="inlineStr">
        <is>
          <t>1962</t>
        </is>
      </c>
      <c r="O347" t="inlineStr">
        <is>
          <t>eng</t>
        </is>
      </c>
      <c r="P347" t="inlineStr">
        <is>
          <t>onc</t>
        </is>
      </c>
      <c r="Q347" t="inlineStr">
        <is>
          <t>Brookside monograph, no. 3</t>
        </is>
      </c>
      <c r="R347" t="inlineStr">
        <is>
          <t xml:space="preserve">HV </t>
        </is>
      </c>
      <c r="S347" t="n">
        <v>6</v>
      </c>
      <c r="T347" t="n">
        <v>6</v>
      </c>
      <c r="U347" t="inlineStr">
        <is>
          <t>2007-03-30</t>
        </is>
      </c>
      <c r="V347" t="inlineStr">
        <is>
          <t>2007-03-30</t>
        </is>
      </c>
      <c r="W347" t="inlineStr">
        <is>
          <t>1991-12-09</t>
        </is>
      </c>
      <c r="X347" t="inlineStr">
        <is>
          <t>1991-12-09</t>
        </is>
      </c>
      <c r="Y347" t="n">
        <v>164</v>
      </c>
      <c r="Z347" t="n">
        <v>139</v>
      </c>
      <c r="AA347" t="n">
        <v>200</v>
      </c>
      <c r="AB347" t="n">
        <v>1</v>
      </c>
      <c r="AC347" t="n">
        <v>2</v>
      </c>
      <c r="AD347" t="n">
        <v>4</v>
      </c>
      <c r="AE347" t="n">
        <v>11</v>
      </c>
      <c r="AF347" t="n">
        <v>0</v>
      </c>
      <c r="AG347" t="n">
        <v>5</v>
      </c>
      <c r="AH347" t="n">
        <v>1</v>
      </c>
      <c r="AI347" t="n">
        <v>2</v>
      </c>
      <c r="AJ347" t="n">
        <v>3</v>
      </c>
      <c r="AK347" t="n">
        <v>4</v>
      </c>
      <c r="AL347" t="n">
        <v>0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HYPERLINK("https://creighton-primo.hosted.exlibrisgroup.com/primo-explore/search?tab=default_tab&amp;search_scope=EVERYTHING&amp;vid=01CRU&amp;lang=en_US&amp;offset=0&amp;query=any,contains,991004023099702656","Catalog Record")</f>
        <v/>
      </c>
      <c r="AT347">
        <f>HYPERLINK("http://www.worldcat.org/oclc/2126550","WorldCat Record")</f>
        <v/>
      </c>
      <c r="AU347" t="inlineStr">
        <is>
          <t>4124390:eng</t>
        </is>
      </c>
      <c r="AV347" t="inlineStr">
        <is>
          <t>2126550</t>
        </is>
      </c>
      <c r="AW347" t="inlineStr">
        <is>
          <t>991004023099702656</t>
        </is>
      </c>
      <c r="AX347" t="inlineStr">
        <is>
          <t>991004023099702656</t>
        </is>
      </c>
      <c r="AY347" t="inlineStr">
        <is>
          <t>2271861860002656</t>
        </is>
      </c>
      <c r="AZ347" t="inlineStr">
        <is>
          <t>BOOK</t>
        </is>
      </c>
      <c r="BC347" t="inlineStr">
        <is>
          <t>32285000848381</t>
        </is>
      </c>
      <c r="BD347" t="inlineStr">
        <is>
          <t>893500006</t>
        </is>
      </c>
    </row>
    <row r="348">
      <c r="A348" t="inlineStr">
        <is>
          <t>No</t>
        </is>
      </c>
      <c r="B348" t="inlineStr">
        <is>
          <t>HV541 .W66 2010</t>
        </is>
      </c>
      <c r="C348" t="inlineStr">
        <is>
          <t>0                      HV 0541000W  66          2010</t>
        </is>
      </c>
      <c r="D348" t="inlineStr">
        <is>
          <t>Women in social work who have changed the world / edited by Alice Lieberman.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Chicago, Ill. : Lyceum Books, c2010.</t>
        </is>
      </c>
      <c r="M348" t="inlineStr">
        <is>
          <t>2010</t>
        </is>
      </c>
      <c r="O348" t="inlineStr">
        <is>
          <t>eng</t>
        </is>
      </c>
      <c r="P348" t="inlineStr">
        <is>
          <t>ilu</t>
        </is>
      </c>
      <c r="R348" t="inlineStr">
        <is>
          <t xml:space="preserve">HV </t>
        </is>
      </c>
      <c r="S348" t="n">
        <v>1</v>
      </c>
      <c r="T348" t="n">
        <v>1</v>
      </c>
      <c r="U348" t="inlineStr">
        <is>
          <t>2010-04-13</t>
        </is>
      </c>
      <c r="V348" t="inlineStr">
        <is>
          <t>2010-04-13</t>
        </is>
      </c>
      <c r="W348" t="inlineStr">
        <is>
          <t>2010-04-13</t>
        </is>
      </c>
      <c r="X348" t="inlineStr">
        <is>
          <t>2010-04-13</t>
        </is>
      </c>
      <c r="Y348" t="n">
        <v>166</v>
      </c>
      <c r="Z348" t="n">
        <v>139</v>
      </c>
      <c r="AA348" t="n">
        <v>139</v>
      </c>
      <c r="AB348" t="n">
        <v>2</v>
      </c>
      <c r="AC348" t="n">
        <v>2</v>
      </c>
      <c r="AD348" t="n">
        <v>5</v>
      </c>
      <c r="AE348" t="n">
        <v>5</v>
      </c>
      <c r="AF348" t="n">
        <v>1</v>
      </c>
      <c r="AG348" t="n">
        <v>1</v>
      </c>
      <c r="AH348" t="n">
        <v>1</v>
      </c>
      <c r="AI348" t="n">
        <v>1</v>
      </c>
      <c r="AJ348" t="n">
        <v>2</v>
      </c>
      <c r="AK348" t="n">
        <v>2</v>
      </c>
      <c r="AL348" t="n">
        <v>1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HYPERLINK("https://creighton-primo.hosted.exlibrisgroup.com/primo-explore/search?tab=default_tab&amp;search_scope=EVERYTHING&amp;vid=01CRU&amp;lang=en_US&amp;offset=0&amp;query=any,contains,991005376089702656","Catalog Record")</f>
        <v/>
      </c>
      <c r="AT348">
        <f>HYPERLINK("http://www.worldcat.org/oclc/429227359","WorldCat Record")</f>
        <v/>
      </c>
      <c r="AU348" t="inlineStr">
        <is>
          <t>316284756:eng</t>
        </is>
      </c>
      <c r="AV348" t="inlineStr">
        <is>
          <t>429227359</t>
        </is>
      </c>
      <c r="AW348" t="inlineStr">
        <is>
          <t>991005376089702656</t>
        </is>
      </c>
      <c r="AX348" t="inlineStr">
        <is>
          <t>991005376089702656</t>
        </is>
      </c>
      <c r="AY348" t="inlineStr">
        <is>
          <t>2267965030002656</t>
        </is>
      </c>
      <c r="AZ348" t="inlineStr">
        <is>
          <t>BOOK</t>
        </is>
      </c>
      <c r="BB348" t="inlineStr">
        <is>
          <t>9781933478296</t>
        </is>
      </c>
      <c r="BC348" t="inlineStr">
        <is>
          <t>32285005563829</t>
        </is>
      </c>
      <c r="BD348" t="inlineStr">
        <is>
          <t>893254924</t>
        </is>
      </c>
    </row>
    <row r="349">
      <c r="A349" t="inlineStr">
        <is>
          <t>No</t>
        </is>
      </c>
      <c r="B349" t="inlineStr">
        <is>
          <t>HV544.5 .P424 2001</t>
        </is>
      </c>
      <c r="C349" t="inlineStr">
        <is>
          <t>0                      HV 0544500P  424         2001</t>
        </is>
      </c>
      <c r="D349" t="inlineStr">
        <is>
          <t>Peacebuilding as politics : cultivating peace in fragile societies / edited by Elizabeth M. Cousens and Chetan Kumar, with Karin Wermester.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Boulder, Colo. : Lynne Rienner Publishers, 2001.</t>
        </is>
      </c>
      <c r="M349" t="inlineStr">
        <is>
          <t>2001</t>
        </is>
      </c>
      <c r="O349" t="inlineStr">
        <is>
          <t>eng</t>
        </is>
      </c>
      <c r="P349" t="inlineStr">
        <is>
          <t>cou</t>
        </is>
      </c>
      <c r="R349" t="inlineStr">
        <is>
          <t xml:space="preserve">HV </t>
        </is>
      </c>
      <c r="S349" t="n">
        <v>3</v>
      </c>
      <c r="T349" t="n">
        <v>3</v>
      </c>
      <c r="U349" t="inlineStr">
        <is>
          <t>2008-04-28</t>
        </is>
      </c>
      <c r="V349" t="inlineStr">
        <is>
          <t>2008-04-28</t>
        </is>
      </c>
      <c r="W349" t="inlineStr">
        <is>
          <t>2003-04-01</t>
        </is>
      </c>
      <c r="X349" t="inlineStr">
        <is>
          <t>2003-04-01</t>
        </is>
      </c>
      <c r="Y349" t="n">
        <v>362</v>
      </c>
      <c r="Z349" t="n">
        <v>247</v>
      </c>
      <c r="AA349" t="n">
        <v>256</v>
      </c>
      <c r="AB349" t="n">
        <v>2</v>
      </c>
      <c r="AC349" t="n">
        <v>2</v>
      </c>
      <c r="AD349" t="n">
        <v>15</v>
      </c>
      <c r="AE349" t="n">
        <v>15</v>
      </c>
      <c r="AF349" t="n">
        <v>6</v>
      </c>
      <c r="AG349" t="n">
        <v>6</v>
      </c>
      <c r="AH349" t="n">
        <v>7</v>
      </c>
      <c r="AI349" t="n">
        <v>7</v>
      </c>
      <c r="AJ349" t="n">
        <v>8</v>
      </c>
      <c r="AK349" t="n">
        <v>8</v>
      </c>
      <c r="AL349" t="n">
        <v>1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HYPERLINK("https://creighton-primo.hosted.exlibrisgroup.com/primo-explore/search?tab=default_tab&amp;search_scope=EVERYTHING&amp;vid=01CRU&amp;lang=en_US&amp;offset=0&amp;query=any,contains,991004009889702656","Catalog Record")</f>
        <v/>
      </c>
      <c r="AT349">
        <f>HYPERLINK("http://www.worldcat.org/oclc/44026386","WorldCat Record")</f>
        <v/>
      </c>
      <c r="AU349" t="inlineStr">
        <is>
          <t>836999682:eng</t>
        </is>
      </c>
      <c r="AV349" t="inlineStr">
        <is>
          <t>44026386</t>
        </is>
      </c>
      <c r="AW349" t="inlineStr">
        <is>
          <t>991004009889702656</t>
        </is>
      </c>
      <c r="AX349" t="inlineStr">
        <is>
          <t>991004009889702656</t>
        </is>
      </c>
      <c r="AY349" t="inlineStr">
        <is>
          <t>2266960470002656</t>
        </is>
      </c>
      <c r="AZ349" t="inlineStr">
        <is>
          <t>BOOK</t>
        </is>
      </c>
      <c r="BB349" t="inlineStr">
        <is>
          <t>9781555879211</t>
        </is>
      </c>
      <c r="BC349" t="inlineStr">
        <is>
          <t>32285004688635</t>
        </is>
      </c>
      <c r="BD349" t="inlineStr">
        <is>
          <t>893429532</t>
        </is>
      </c>
    </row>
    <row r="350">
      <c r="A350" t="inlineStr">
        <is>
          <t>No</t>
        </is>
      </c>
      <c r="B350" t="inlineStr">
        <is>
          <t>HV5446 G74 2003</t>
        </is>
      </c>
      <c r="C350" t="inlineStr">
        <is>
          <t>0                      HV 5446000G  74          2003</t>
        </is>
      </c>
      <c r="D350" t="inlineStr">
        <is>
          <t>Drink and British politics since 1830 : a study in policy-making / John Greenaway.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Greenaway, J. R.</t>
        </is>
      </c>
      <c r="L350" t="inlineStr">
        <is>
          <t>New York : Palgrave Macmillan, 2003.</t>
        </is>
      </c>
      <c r="M350" t="inlineStr">
        <is>
          <t>2003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HV </t>
        </is>
      </c>
      <c r="S350" t="n">
        <v>2</v>
      </c>
      <c r="T350" t="n">
        <v>2</v>
      </c>
      <c r="U350" t="inlineStr">
        <is>
          <t>2005-08-02</t>
        </is>
      </c>
      <c r="V350" t="inlineStr">
        <is>
          <t>2005-08-02</t>
        </is>
      </c>
      <c r="W350" t="inlineStr">
        <is>
          <t>2005-08-02</t>
        </is>
      </c>
      <c r="X350" t="inlineStr">
        <is>
          <t>2005-08-02</t>
        </is>
      </c>
      <c r="Y350" t="n">
        <v>251</v>
      </c>
      <c r="Z350" t="n">
        <v>185</v>
      </c>
      <c r="AA350" t="n">
        <v>213</v>
      </c>
      <c r="AB350" t="n">
        <v>2</v>
      </c>
      <c r="AC350" t="n">
        <v>2</v>
      </c>
      <c r="AD350" t="n">
        <v>9</v>
      </c>
      <c r="AE350" t="n">
        <v>9</v>
      </c>
      <c r="AF350" t="n">
        <v>3</v>
      </c>
      <c r="AG350" t="n">
        <v>3</v>
      </c>
      <c r="AH350" t="n">
        <v>4</v>
      </c>
      <c r="AI350" t="n">
        <v>4</v>
      </c>
      <c r="AJ350" t="n">
        <v>5</v>
      </c>
      <c r="AK350" t="n">
        <v>5</v>
      </c>
      <c r="AL350" t="n">
        <v>1</v>
      </c>
      <c r="AM350" t="n">
        <v>1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HYPERLINK("https://creighton-primo.hosted.exlibrisgroup.com/primo-explore/search?tab=default_tab&amp;search_scope=EVERYTHING&amp;vid=01CRU&amp;lang=en_US&amp;offset=0&amp;query=any,contains,991004544619702656","Catalog Record")</f>
        <v/>
      </c>
      <c r="AT350">
        <f>HYPERLINK("http://www.worldcat.org/oclc/51818612","WorldCat Record")</f>
        <v/>
      </c>
      <c r="AU350" t="inlineStr">
        <is>
          <t>797221306:eng</t>
        </is>
      </c>
      <c r="AV350" t="inlineStr">
        <is>
          <t>51818612</t>
        </is>
      </c>
      <c r="AW350" t="inlineStr">
        <is>
          <t>991004544619702656</t>
        </is>
      </c>
      <c r="AX350" t="inlineStr">
        <is>
          <t>991004544619702656</t>
        </is>
      </c>
      <c r="AY350" t="inlineStr">
        <is>
          <t>2257447660002656</t>
        </is>
      </c>
      <c r="AZ350" t="inlineStr">
        <is>
          <t>BOOK</t>
        </is>
      </c>
      <c r="BB350" t="inlineStr">
        <is>
          <t>9780333917824</t>
        </is>
      </c>
      <c r="BC350" t="inlineStr">
        <is>
          <t>32285005098701</t>
        </is>
      </c>
      <c r="BD350" t="inlineStr">
        <is>
          <t>893612490</t>
        </is>
      </c>
    </row>
    <row r="351">
      <c r="A351" t="inlineStr">
        <is>
          <t>No</t>
        </is>
      </c>
      <c r="B351" t="inlineStr">
        <is>
          <t>HV547 .L53</t>
        </is>
      </c>
      <c r="C351" t="inlineStr">
        <is>
          <t>0                      HV 0547000L  53</t>
        </is>
      </c>
      <c r="D351" t="inlineStr">
        <is>
          <t>Self-help groups for coping with crisis : origins, members, processes, and impact / by Morton A. Lieberman, Leonard D. Borman, and associates.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Lieberman, Morton A., 1931-</t>
        </is>
      </c>
      <c r="L351" t="inlineStr">
        <is>
          <t>San Francisco : Jossey-Bass, c1979.</t>
        </is>
      </c>
      <c r="M351" t="inlineStr">
        <is>
          <t>1979</t>
        </is>
      </c>
      <c r="N351" t="inlineStr">
        <is>
          <t>1st ed.</t>
        </is>
      </c>
      <c r="O351" t="inlineStr">
        <is>
          <t>eng</t>
        </is>
      </c>
      <c r="P351" t="inlineStr">
        <is>
          <t>cau</t>
        </is>
      </c>
      <c r="R351" t="inlineStr">
        <is>
          <t xml:space="preserve">HV </t>
        </is>
      </c>
      <c r="S351" t="n">
        <v>0</v>
      </c>
      <c r="T351" t="n">
        <v>0</v>
      </c>
      <c r="U351" t="inlineStr">
        <is>
          <t>2005-06-21</t>
        </is>
      </c>
      <c r="V351" t="inlineStr">
        <is>
          <t>2005-06-21</t>
        </is>
      </c>
      <c r="W351" t="inlineStr">
        <is>
          <t>1990-05-17</t>
        </is>
      </c>
      <c r="X351" t="inlineStr">
        <is>
          <t>1990-05-17</t>
        </is>
      </c>
      <c r="Y351" t="n">
        <v>605</v>
      </c>
      <c r="Z351" t="n">
        <v>490</v>
      </c>
      <c r="AA351" t="n">
        <v>508</v>
      </c>
      <c r="AB351" t="n">
        <v>3</v>
      </c>
      <c r="AC351" t="n">
        <v>3</v>
      </c>
      <c r="AD351" t="n">
        <v>23</v>
      </c>
      <c r="AE351" t="n">
        <v>24</v>
      </c>
      <c r="AF351" t="n">
        <v>10</v>
      </c>
      <c r="AG351" t="n">
        <v>11</v>
      </c>
      <c r="AH351" t="n">
        <v>5</v>
      </c>
      <c r="AI351" t="n">
        <v>5</v>
      </c>
      <c r="AJ351" t="n">
        <v>12</v>
      </c>
      <c r="AK351" t="n">
        <v>12</v>
      </c>
      <c r="AL351" t="n">
        <v>2</v>
      </c>
      <c r="AM351" t="n">
        <v>2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HYPERLINK("http://catalog.hathitrust.org/Record/000034634","HathiTrust Record")</f>
        <v/>
      </c>
      <c r="AS351">
        <f>HYPERLINK("https://creighton-primo.hosted.exlibrisgroup.com/primo-explore/search?tab=default_tab&amp;search_scope=EVERYTHING&amp;vid=01CRU&amp;lang=en_US&amp;offset=0&amp;query=any,contains,991004838589702656","Catalog Record")</f>
        <v/>
      </c>
      <c r="AT351">
        <f>HYPERLINK("http://www.worldcat.org/oclc/5491383","WorldCat Record")</f>
        <v/>
      </c>
      <c r="AU351" t="inlineStr">
        <is>
          <t>796473933:eng</t>
        </is>
      </c>
      <c r="AV351" t="inlineStr">
        <is>
          <t>5491383</t>
        </is>
      </c>
      <c r="AW351" t="inlineStr">
        <is>
          <t>991004838589702656</t>
        </is>
      </c>
      <c r="AX351" t="inlineStr">
        <is>
          <t>991004838589702656</t>
        </is>
      </c>
      <c r="AY351" t="inlineStr">
        <is>
          <t>2268724940002656</t>
        </is>
      </c>
      <c r="AZ351" t="inlineStr">
        <is>
          <t>BOOK</t>
        </is>
      </c>
      <c r="BB351" t="inlineStr">
        <is>
          <t>9780875894355</t>
        </is>
      </c>
      <c r="BC351" t="inlineStr">
        <is>
          <t>32285000152651</t>
        </is>
      </c>
      <c r="BD351" t="inlineStr">
        <is>
          <t>893782714</t>
        </is>
      </c>
    </row>
    <row r="352">
      <c r="A352" t="inlineStr">
        <is>
          <t>No</t>
        </is>
      </c>
      <c r="B352" t="inlineStr">
        <is>
          <t>HV547 .S59</t>
        </is>
      </c>
      <c r="C352" t="inlineStr">
        <is>
          <t>0                      HV 0547000S  59</t>
        </is>
      </c>
      <c r="D352" t="inlineStr">
        <is>
          <t>Mutual help groups : organization and development / Phyllis R. Silverman.</t>
        </is>
      </c>
      <c r="F352" t="inlineStr">
        <is>
          <t>No</t>
        </is>
      </c>
      <c r="G352" t="inlineStr">
        <is>
          <t>1</t>
        </is>
      </c>
      <c r="H352" t="inlineStr">
        <is>
          <t>Yes</t>
        </is>
      </c>
      <c r="I352" t="inlineStr">
        <is>
          <t>No</t>
        </is>
      </c>
      <c r="J352" t="inlineStr">
        <is>
          <t>0</t>
        </is>
      </c>
      <c r="K352" t="inlineStr">
        <is>
          <t>Silverman, Phyllis R.</t>
        </is>
      </c>
      <c r="L352" t="inlineStr">
        <is>
          <t>Beverly Hills : Sage Publications, c1980.</t>
        </is>
      </c>
      <c r="M352" t="inlineStr">
        <is>
          <t>1980</t>
        </is>
      </c>
      <c r="O352" t="inlineStr">
        <is>
          <t>eng</t>
        </is>
      </c>
      <c r="P352" t="inlineStr">
        <is>
          <t>cau</t>
        </is>
      </c>
      <c r="Q352" t="inlineStr">
        <is>
          <t>Sage human services guide ; 16</t>
        </is>
      </c>
      <c r="R352" t="inlineStr">
        <is>
          <t xml:space="preserve">HV </t>
        </is>
      </c>
      <c r="S352" t="n">
        <v>0</v>
      </c>
      <c r="T352" t="n">
        <v>4</v>
      </c>
      <c r="V352" t="inlineStr">
        <is>
          <t>1992-05-11</t>
        </is>
      </c>
      <c r="W352" t="inlineStr">
        <is>
          <t>1993-05-18</t>
        </is>
      </c>
      <c r="X352" t="inlineStr">
        <is>
          <t>1993-05-18</t>
        </is>
      </c>
      <c r="Y352" t="n">
        <v>355</v>
      </c>
      <c r="Z352" t="n">
        <v>296</v>
      </c>
      <c r="AA352" t="n">
        <v>303</v>
      </c>
      <c r="AB352" t="n">
        <v>4</v>
      </c>
      <c r="AC352" t="n">
        <v>4</v>
      </c>
      <c r="AD352" t="n">
        <v>14</v>
      </c>
      <c r="AE352" t="n">
        <v>14</v>
      </c>
      <c r="AF352" t="n">
        <v>5</v>
      </c>
      <c r="AG352" t="n">
        <v>5</v>
      </c>
      <c r="AH352" t="n">
        <v>3</v>
      </c>
      <c r="AI352" t="n">
        <v>3</v>
      </c>
      <c r="AJ352" t="n">
        <v>5</v>
      </c>
      <c r="AK352" t="n">
        <v>5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HYPERLINK("http://catalog.hathitrust.org/Record/000226459","HathiTrust Record")</f>
        <v/>
      </c>
      <c r="AS352">
        <f>HYPERLINK("https://creighton-primo.hosted.exlibrisgroup.com/primo-explore/search?tab=default_tab&amp;search_scope=EVERYTHING&amp;vid=01CRU&amp;lang=en_US&amp;offset=0&amp;query=any,contains,991001786919702656","Catalog Record")</f>
        <v/>
      </c>
      <c r="AT352">
        <f>HYPERLINK("http://www.worldcat.org/oclc/6735763","WorldCat Record")</f>
        <v/>
      </c>
      <c r="AU352" t="inlineStr">
        <is>
          <t>24325008:eng</t>
        </is>
      </c>
      <c r="AV352" t="inlineStr">
        <is>
          <t>6735763</t>
        </is>
      </c>
      <c r="AW352" t="inlineStr">
        <is>
          <t>991001786919702656</t>
        </is>
      </c>
      <c r="AX352" t="inlineStr">
        <is>
          <t>991001786919702656</t>
        </is>
      </c>
      <c r="AY352" t="inlineStr">
        <is>
          <t>2268061680002656</t>
        </is>
      </c>
      <c r="AZ352" t="inlineStr">
        <is>
          <t>BOOK</t>
        </is>
      </c>
      <c r="BB352" t="inlineStr">
        <is>
          <t>9780803915190</t>
        </is>
      </c>
      <c r="BC352" t="inlineStr">
        <is>
          <t>32285001681948</t>
        </is>
      </c>
      <c r="BD352" t="inlineStr">
        <is>
          <t>893529225</t>
        </is>
      </c>
    </row>
    <row r="353">
      <c r="A353" t="inlineStr">
        <is>
          <t>No</t>
        </is>
      </c>
      <c r="B353" t="inlineStr">
        <is>
          <t>HV551.2 .E457 2007</t>
        </is>
      </c>
      <c r="C353" t="inlineStr">
        <is>
          <t>0                      HV 0551200E  457         2007</t>
        </is>
      </c>
      <c r="D353" t="inlineStr">
        <is>
          <t>Emergency management : principles and practice for local government / edited by William L. Waugh Jr., Kathleen Tierney.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Washington, D.C. : ICMA Press, c2007.</t>
        </is>
      </c>
      <c r="M353" t="inlineStr">
        <is>
          <t>2007</t>
        </is>
      </c>
      <c r="N353" t="inlineStr">
        <is>
          <t>2nd ed.</t>
        </is>
      </c>
      <c r="O353" t="inlineStr">
        <is>
          <t>eng</t>
        </is>
      </c>
      <c r="P353" t="inlineStr">
        <is>
          <t>dcu</t>
        </is>
      </c>
      <c r="Q353" t="inlineStr">
        <is>
          <t>An ICMA green book</t>
        </is>
      </c>
      <c r="R353" t="inlineStr">
        <is>
          <t xml:space="preserve">HV </t>
        </is>
      </c>
      <c r="S353" t="n">
        <v>1</v>
      </c>
      <c r="T353" t="n">
        <v>1</v>
      </c>
      <c r="U353" t="inlineStr">
        <is>
          <t>2008-01-21</t>
        </is>
      </c>
      <c r="V353" t="inlineStr">
        <is>
          <t>2008-01-21</t>
        </is>
      </c>
      <c r="W353" t="inlineStr">
        <is>
          <t>2008-01-21</t>
        </is>
      </c>
      <c r="X353" t="inlineStr">
        <is>
          <t>2008-01-21</t>
        </is>
      </c>
      <c r="Y353" t="n">
        <v>91</v>
      </c>
      <c r="Z353" t="n">
        <v>72</v>
      </c>
      <c r="AA353" t="n">
        <v>72</v>
      </c>
      <c r="AB353" t="n">
        <v>3</v>
      </c>
      <c r="AC353" t="n">
        <v>3</v>
      </c>
      <c r="AD353" t="n">
        <v>2</v>
      </c>
      <c r="AE353" t="n">
        <v>2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HYPERLINK("https://creighton-primo.hosted.exlibrisgroup.com/primo-explore/search?tab=default_tab&amp;search_scope=EVERYTHING&amp;vid=01CRU&amp;lang=en_US&amp;offset=0&amp;query=any,contains,991005159919702656","Catalog Record")</f>
        <v/>
      </c>
      <c r="AT353">
        <f>HYPERLINK("http://www.worldcat.org/oclc/174134158","WorldCat Record")</f>
        <v/>
      </c>
      <c r="AU353" t="inlineStr">
        <is>
          <t>2595862350:eng</t>
        </is>
      </c>
      <c r="AV353" t="inlineStr">
        <is>
          <t>174134158</t>
        </is>
      </c>
      <c r="AW353" t="inlineStr">
        <is>
          <t>991005159919702656</t>
        </is>
      </c>
      <c r="AX353" t="inlineStr">
        <is>
          <t>991005159919702656</t>
        </is>
      </c>
      <c r="AY353" t="inlineStr">
        <is>
          <t>2271089920002656</t>
        </is>
      </c>
      <c r="AZ353" t="inlineStr">
        <is>
          <t>BOOK</t>
        </is>
      </c>
      <c r="BB353" t="inlineStr">
        <is>
          <t>9780873267199</t>
        </is>
      </c>
      <c r="BC353" t="inlineStr">
        <is>
          <t>32285005379135</t>
        </is>
      </c>
      <c r="BD353" t="inlineStr">
        <is>
          <t>893795710</t>
        </is>
      </c>
    </row>
    <row r="354">
      <c r="A354" t="inlineStr">
        <is>
          <t>No</t>
        </is>
      </c>
      <c r="B354" t="inlineStr">
        <is>
          <t>HV551.2 .H25 2009</t>
        </is>
      </c>
      <c r="C354" t="inlineStr">
        <is>
          <t>0                      HV 0551200H  25          2009</t>
        </is>
      </c>
      <c r="D354" t="inlineStr">
        <is>
          <t>Disaster communications in a changing media world / by George D. Haddow and Kim S. Haddow.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Haddow, George D.</t>
        </is>
      </c>
      <c r="L354" t="inlineStr">
        <is>
          <t>Burlington, MA : Butterworth-Heinemann, c2009.</t>
        </is>
      </c>
      <c r="M354" t="inlineStr">
        <is>
          <t>2009</t>
        </is>
      </c>
      <c r="O354" t="inlineStr">
        <is>
          <t>eng</t>
        </is>
      </c>
      <c r="P354" t="inlineStr">
        <is>
          <t>mau</t>
        </is>
      </c>
      <c r="Q354" t="inlineStr">
        <is>
          <t>The Butterworth-Heinemann homeland security series</t>
        </is>
      </c>
      <c r="R354" t="inlineStr">
        <is>
          <t xml:space="preserve">HV </t>
        </is>
      </c>
      <c r="S354" t="n">
        <v>1</v>
      </c>
      <c r="T354" t="n">
        <v>1</v>
      </c>
      <c r="U354" t="inlineStr">
        <is>
          <t>2009-11-24</t>
        </is>
      </c>
      <c r="V354" t="inlineStr">
        <is>
          <t>2009-11-24</t>
        </is>
      </c>
      <c r="W354" t="inlineStr">
        <is>
          <t>2009-11-19</t>
        </is>
      </c>
      <c r="X354" t="inlineStr">
        <is>
          <t>2009-11-19</t>
        </is>
      </c>
      <c r="Y354" t="n">
        <v>195</v>
      </c>
      <c r="Z354" t="n">
        <v>129</v>
      </c>
      <c r="AA354" t="n">
        <v>432</v>
      </c>
      <c r="AB354" t="n">
        <v>2</v>
      </c>
      <c r="AC354" t="n">
        <v>5</v>
      </c>
      <c r="AD354" t="n">
        <v>8</v>
      </c>
      <c r="AE354" t="n">
        <v>21</v>
      </c>
      <c r="AF354" t="n">
        <v>2</v>
      </c>
      <c r="AG354" t="n">
        <v>6</v>
      </c>
      <c r="AH354" t="n">
        <v>2</v>
      </c>
      <c r="AI354" t="n">
        <v>6</v>
      </c>
      <c r="AJ354" t="n">
        <v>5</v>
      </c>
      <c r="AK354" t="n">
        <v>9</v>
      </c>
      <c r="AL354" t="n">
        <v>1</v>
      </c>
      <c r="AM354" t="n">
        <v>4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HYPERLINK("https://creighton-primo.hosted.exlibrisgroup.com/primo-explore/search?tab=default_tab&amp;search_scope=EVERYTHING&amp;vid=01CRU&amp;lang=en_US&amp;offset=0&amp;query=any,contains,991005341639702656","Catalog Record")</f>
        <v/>
      </c>
      <c r="AT354">
        <f>HYPERLINK("http://www.worldcat.org/oclc/243777605","WorldCat Record")</f>
        <v/>
      </c>
      <c r="AU354" t="inlineStr">
        <is>
          <t>141702938:eng</t>
        </is>
      </c>
      <c r="AV354" t="inlineStr">
        <is>
          <t>243777605</t>
        </is>
      </c>
      <c r="AW354" t="inlineStr">
        <is>
          <t>991005341639702656</t>
        </is>
      </c>
      <c r="AX354" t="inlineStr">
        <is>
          <t>991005341639702656</t>
        </is>
      </c>
      <c r="AY354" t="inlineStr">
        <is>
          <t>2260803530002656</t>
        </is>
      </c>
      <c r="AZ354" t="inlineStr">
        <is>
          <t>BOOK</t>
        </is>
      </c>
      <c r="BB354" t="inlineStr">
        <is>
          <t>9781856175548</t>
        </is>
      </c>
      <c r="BC354" t="inlineStr">
        <is>
          <t>32285005551709</t>
        </is>
      </c>
      <c r="BD354" t="inlineStr">
        <is>
          <t>893431268</t>
        </is>
      </c>
    </row>
    <row r="355">
      <c r="A355" t="inlineStr">
        <is>
          <t>No</t>
        </is>
      </c>
      <c r="B355" t="inlineStr">
        <is>
          <t>HV551.2 .L24 2009</t>
        </is>
      </c>
      <c r="C355" t="inlineStr">
        <is>
          <t>0                      HV 0551200L  24          2009</t>
        </is>
      </c>
      <c r="D355" t="inlineStr">
        <is>
          <t>Leadership in unconventional crises : a transatlantic and cross-sector assessment / by Erwan Lagedec.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Lagadec, Erwan, 1977-</t>
        </is>
      </c>
      <c r="L355" t="inlineStr">
        <is>
          <t>Washington, DC : Center for Transatlantic Relations, Paul H. Nitze School of Advanced International Studies, Johns Hopkins University, c2009.</t>
        </is>
      </c>
      <c r="M355" t="inlineStr">
        <is>
          <t>2009</t>
        </is>
      </c>
      <c r="O355" t="inlineStr">
        <is>
          <t>eng</t>
        </is>
      </c>
      <c r="P355" t="inlineStr">
        <is>
          <t>dcu</t>
        </is>
      </c>
      <c r="R355" t="inlineStr">
        <is>
          <t xml:space="preserve">HV </t>
        </is>
      </c>
      <c r="S355" t="n">
        <v>1</v>
      </c>
      <c r="T355" t="n">
        <v>1</v>
      </c>
      <c r="U355" t="inlineStr">
        <is>
          <t>2010-12-16</t>
        </is>
      </c>
      <c r="V355" t="inlineStr">
        <is>
          <t>2010-12-16</t>
        </is>
      </c>
      <c r="W355" t="inlineStr">
        <is>
          <t>2010-12-16</t>
        </is>
      </c>
      <c r="X355" t="inlineStr">
        <is>
          <t>2010-12-16</t>
        </is>
      </c>
      <c r="Y355" t="n">
        <v>119</v>
      </c>
      <c r="Z355" t="n">
        <v>94</v>
      </c>
      <c r="AA355" t="n">
        <v>94</v>
      </c>
      <c r="AB355" t="n">
        <v>2</v>
      </c>
      <c r="AC355" t="n">
        <v>2</v>
      </c>
      <c r="AD355" t="n">
        <v>6</v>
      </c>
      <c r="AE355" t="n">
        <v>6</v>
      </c>
      <c r="AF355" t="n">
        <v>1</v>
      </c>
      <c r="AG355" t="n">
        <v>1</v>
      </c>
      <c r="AH355" t="n">
        <v>2</v>
      </c>
      <c r="AI355" t="n">
        <v>2</v>
      </c>
      <c r="AJ355" t="n">
        <v>4</v>
      </c>
      <c r="AK355" t="n">
        <v>4</v>
      </c>
      <c r="AL355" t="n">
        <v>1</v>
      </c>
      <c r="AM355" t="n">
        <v>1</v>
      </c>
      <c r="AN355" t="n">
        <v>1</v>
      </c>
      <c r="AO355" t="n">
        <v>1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HYPERLINK("https://creighton-primo.hosted.exlibrisgroup.com/primo-explore/search?tab=default_tab&amp;search_scope=EVERYTHING&amp;vid=01CRU&amp;lang=en_US&amp;offset=0&amp;query=any,contains,991000386539702656","Catalog Record")</f>
        <v/>
      </c>
      <c r="AT355">
        <f>HYPERLINK("http://www.worldcat.org/oclc/466432189","WorldCat Record")</f>
        <v/>
      </c>
      <c r="AU355" t="inlineStr">
        <is>
          <t>793252748:eng</t>
        </is>
      </c>
      <c r="AV355" t="inlineStr">
        <is>
          <t>466432189</t>
        </is>
      </c>
      <c r="AW355" t="inlineStr">
        <is>
          <t>991000386539702656</t>
        </is>
      </c>
      <c r="AX355" t="inlineStr">
        <is>
          <t>991000386539702656</t>
        </is>
      </c>
      <c r="AY355" t="inlineStr">
        <is>
          <t>2269962500002656</t>
        </is>
      </c>
      <c r="AZ355" t="inlineStr">
        <is>
          <t>BOOK</t>
        </is>
      </c>
      <c r="BB355" t="inlineStr">
        <is>
          <t>9780984134106</t>
        </is>
      </c>
      <c r="BC355" t="inlineStr">
        <is>
          <t>32285005651905</t>
        </is>
      </c>
      <c r="BD355" t="inlineStr">
        <is>
          <t>893224944</t>
        </is>
      </c>
    </row>
    <row r="356">
      <c r="A356" t="inlineStr">
        <is>
          <t>No</t>
        </is>
      </c>
      <c r="B356" t="inlineStr">
        <is>
          <t>HV551.3 .B85 2008</t>
        </is>
      </c>
      <c r="C356" t="inlineStr">
        <is>
          <t>0                      HV 0551300B  85          2008</t>
        </is>
      </c>
      <c r="D356" t="inlineStr">
        <is>
          <t>Emergency management : a reference handbook / Jeffrey B. Bumgarner.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Bumgarner, Jeffrey B.</t>
        </is>
      </c>
      <c r="L356" t="inlineStr">
        <is>
          <t>Santa Barbara, Calif. : ABC-CLIO, c2008.</t>
        </is>
      </c>
      <c r="M356" t="inlineStr">
        <is>
          <t>2008</t>
        </is>
      </c>
      <c r="O356" t="inlineStr">
        <is>
          <t>eng</t>
        </is>
      </c>
      <c r="P356" t="inlineStr">
        <is>
          <t>cau</t>
        </is>
      </c>
      <c r="Q356" t="inlineStr">
        <is>
          <t>Contemporary world issues</t>
        </is>
      </c>
      <c r="R356" t="inlineStr">
        <is>
          <t xml:space="preserve">HV </t>
        </is>
      </c>
      <c r="S356" t="n">
        <v>1</v>
      </c>
      <c r="T356" t="n">
        <v>1</v>
      </c>
      <c r="U356" t="inlineStr">
        <is>
          <t>2008-06-12</t>
        </is>
      </c>
      <c r="V356" t="inlineStr">
        <is>
          <t>2008-06-12</t>
        </is>
      </c>
      <c r="W356" t="inlineStr">
        <is>
          <t>2008-02-06</t>
        </is>
      </c>
      <c r="X356" t="inlineStr">
        <is>
          <t>2008-02-06</t>
        </is>
      </c>
      <c r="Y356" t="n">
        <v>346</v>
      </c>
      <c r="Z356" t="n">
        <v>327</v>
      </c>
      <c r="AA356" t="n">
        <v>778</v>
      </c>
      <c r="AB356" t="n">
        <v>1</v>
      </c>
      <c r="AC356" t="n">
        <v>5</v>
      </c>
      <c r="AD356" t="n">
        <v>4</v>
      </c>
      <c r="AE356" t="n">
        <v>16</v>
      </c>
      <c r="AF356" t="n">
        <v>2</v>
      </c>
      <c r="AG356" t="n">
        <v>6</v>
      </c>
      <c r="AH356" t="n">
        <v>1</v>
      </c>
      <c r="AI356" t="n">
        <v>5</v>
      </c>
      <c r="AJ356" t="n">
        <v>2</v>
      </c>
      <c r="AK356" t="n">
        <v>7</v>
      </c>
      <c r="AL356" t="n">
        <v>0</v>
      </c>
      <c r="AM356" t="n">
        <v>4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HYPERLINK("https://creighton-primo.hosted.exlibrisgroup.com/primo-explore/search?tab=default_tab&amp;search_scope=EVERYTHING&amp;vid=01CRU&amp;lang=en_US&amp;offset=0&amp;query=any,contains,991005177209702656","Catalog Record")</f>
        <v/>
      </c>
      <c r="AT356">
        <f>HYPERLINK("http://www.worldcat.org/oclc/163625233","WorldCat Record")</f>
        <v/>
      </c>
      <c r="AU356" t="inlineStr">
        <is>
          <t>803082728:eng</t>
        </is>
      </c>
      <c r="AV356" t="inlineStr">
        <is>
          <t>163625233</t>
        </is>
      </c>
      <c r="AW356" t="inlineStr">
        <is>
          <t>991005177209702656</t>
        </is>
      </c>
      <c r="AX356" t="inlineStr">
        <is>
          <t>991005177209702656</t>
        </is>
      </c>
      <c r="AY356" t="inlineStr">
        <is>
          <t>2260858890002656</t>
        </is>
      </c>
      <c r="AZ356" t="inlineStr">
        <is>
          <t>BOOK</t>
        </is>
      </c>
      <c r="BB356" t="inlineStr">
        <is>
          <t>9781598841107</t>
        </is>
      </c>
      <c r="BC356" t="inlineStr">
        <is>
          <t>32285005392740</t>
        </is>
      </c>
      <c r="BD356" t="inlineStr">
        <is>
          <t>893707398</t>
        </is>
      </c>
    </row>
    <row r="357">
      <c r="A357" t="inlineStr">
        <is>
          <t>No</t>
        </is>
      </c>
      <c r="B357" t="inlineStr">
        <is>
          <t>HV551.3 .P45 2007</t>
        </is>
      </c>
      <c r="C357" t="inlineStr">
        <is>
          <t>0                      HV 0551300P  45          2007</t>
        </is>
      </c>
      <c r="D357" t="inlineStr">
        <is>
          <t>The next catastrophe : reducing our vulnerabilities to natural, industrial, and terrorist disasters / Charles Perrow.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Perrow, Charles.</t>
        </is>
      </c>
      <c r="L357" t="inlineStr">
        <is>
          <t>Princeton, N.J. : Princeton University Press, c2007.</t>
        </is>
      </c>
      <c r="M357" t="inlineStr">
        <is>
          <t>2007</t>
        </is>
      </c>
      <c r="O357" t="inlineStr">
        <is>
          <t>eng</t>
        </is>
      </c>
      <c r="P357" t="inlineStr">
        <is>
          <t>nju</t>
        </is>
      </c>
      <c r="R357" t="inlineStr">
        <is>
          <t xml:space="preserve">HV </t>
        </is>
      </c>
      <c r="S357" t="n">
        <v>2</v>
      </c>
      <c r="T357" t="n">
        <v>2</v>
      </c>
      <c r="U357" t="inlineStr">
        <is>
          <t>2008-05-12</t>
        </is>
      </c>
      <c r="V357" t="inlineStr">
        <is>
          <t>2008-05-12</t>
        </is>
      </c>
      <c r="W357" t="inlineStr">
        <is>
          <t>2008-05-12</t>
        </is>
      </c>
      <c r="X357" t="inlineStr">
        <is>
          <t>2008-05-12</t>
        </is>
      </c>
      <c r="Y357" t="n">
        <v>814</v>
      </c>
      <c r="Z357" t="n">
        <v>687</v>
      </c>
      <c r="AA357" t="n">
        <v>1058</v>
      </c>
      <c r="AB357" t="n">
        <v>6</v>
      </c>
      <c r="AC357" t="n">
        <v>8</v>
      </c>
      <c r="AD357" t="n">
        <v>28</v>
      </c>
      <c r="AE357" t="n">
        <v>44</v>
      </c>
      <c r="AF357" t="n">
        <v>14</v>
      </c>
      <c r="AG357" t="n">
        <v>20</v>
      </c>
      <c r="AH357" t="n">
        <v>5</v>
      </c>
      <c r="AI357" t="n">
        <v>8</v>
      </c>
      <c r="AJ357" t="n">
        <v>11</v>
      </c>
      <c r="AK357" t="n">
        <v>17</v>
      </c>
      <c r="AL357" t="n">
        <v>5</v>
      </c>
      <c r="AM357" t="n">
        <v>7</v>
      </c>
      <c r="AN357" t="n">
        <v>0</v>
      </c>
      <c r="AO357" t="n">
        <v>1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HYPERLINK("https://creighton-primo.hosted.exlibrisgroup.com/primo-explore/search?tab=default_tab&amp;search_scope=EVERYTHING&amp;vid=01CRU&amp;lang=en_US&amp;offset=0&amp;query=any,contains,991005210609702656","Catalog Record")</f>
        <v/>
      </c>
      <c r="AT357">
        <f>HYPERLINK("http://www.worldcat.org/oclc/76820658","WorldCat Record")</f>
        <v/>
      </c>
      <c r="AU357" t="inlineStr">
        <is>
          <t>802138750:eng</t>
        </is>
      </c>
      <c r="AV357" t="inlineStr">
        <is>
          <t>76820658</t>
        </is>
      </c>
      <c r="AW357" t="inlineStr">
        <is>
          <t>991005210609702656</t>
        </is>
      </c>
      <c r="AX357" t="inlineStr">
        <is>
          <t>991005210609702656</t>
        </is>
      </c>
      <c r="AY357" t="inlineStr">
        <is>
          <t>2269141670002656</t>
        </is>
      </c>
      <c r="AZ357" t="inlineStr">
        <is>
          <t>BOOK</t>
        </is>
      </c>
      <c r="BB357" t="inlineStr">
        <is>
          <t>9780691129976</t>
        </is>
      </c>
      <c r="BC357" t="inlineStr">
        <is>
          <t>32285005406904</t>
        </is>
      </c>
      <c r="BD357" t="inlineStr">
        <is>
          <t>893783205</t>
        </is>
      </c>
    </row>
    <row r="358">
      <c r="A358" t="inlineStr">
        <is>
          <t>No</t>
        </is>
      </c>
      <c r="B358" t="inlineStr">
        <is>
          <t>HV5513 .T73 1982</t>
        </is>
      </c>
      <c r="C358" t="inlineStr">
        <is>
          <t>0                      HV 5513000T  73          1982</t>
        </is>
      </c>
      <c r="D358" t="inlineStr">
        <is>
          <t>Alcohol in the USSR : a statistical study / Vladimir G. Treml.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Treml, Vladimir G.</t>
        </is>
      </c>
      <c r="L358" t="inlineStr">
        <is>
          <t>Durham, N.C. : Duke University Press, 1982.</t>
        </is>
      </c>
      <c r="M358" t="inlineStr">
        <is>
          <t>1982</t>
        </is>
      </c>
      <c r="O358" t="inlineStr">
        <is>
          <t>eng</t>
        </is>
      </c>
      <c r="P358" t="inlineStr">
        <is>
          <t>ncu</t>
        </is>
      </c>
      <c r="Q358" t="inlineStr">
        <is>
          <t>Duke Press policy studies</t>
        </is>
      </c>
      <c r="R358" t="inlineStr">
        <is>
          <t xml:space="preserve">HV </t>
        </is>
      </c>
      <c r="S358" t="n">
        <v>6</v>
      </c>
      <c r="T358" t="n">
        <v>6</v>
      </c>
      <c r="U358" t="inlineStr">
        <is>
          <t>2005-09-26</t>
        </is>
      </c>
      <c r="V358" t="inlineStr">
        <is>
          <t>2005-09-26</t>
        </is>
      </c>
      <c r="W358" t="inlineStr">
        <is>
          <t>1990-07-06</t>
        </is>
      </c>
      <c r="X358" t="inlineStr">
        <is>
          <t>1990-07-06</t>
        </is>
      </c>
      <c r="Y358" t="n">
        <v>323</v>
      </c>
      <c r="Z358" t="n">
        <v>266</v>
      </c>
      <c r="AA358" t="n">
        <v>271</v>
      </c>
      <c r="AB358" t="n">
        <v>2</v>
      </c>
      <c r="AC358" t="n">
        <v>2</v>
      </c>
      <c r="AD358" t="n">
        <v>16</v>
      </c>
      <c r="AE358" t="n">
        <v>16</v>
      </c>
      <c r="AF358" t="n">
        <v>7</v>
      </c>
      <c r="AG358" t="n">
        <v>7</v>
      </c>
      <c r="AH358" t="n">
        <v>3</v>
      </c>
      <c r="AI358" t="n">
        <v>3</v>
      </c>
      <c r="AJ358" t="n">
        <v>9</v>
      </c>
      <c r="AK358" t="n">
        <v>9</v>
      </c>
      <c r="AL358" t="n">
        <v>1</v>
      </c>
      <c r="AM358" t="n">
        <v>1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HYPERLINK("https://creighton-primo.hosted.exlibrisgroup.com/primo-explore/search?tab=default_tab&amp;search_scope=EVERYTHING&amp;vid=01CRU&amp;lang=en_US&amp;offset=0&amp;query=any,contains,991000008139702656","Catalog Record")</f>
        <v/>
      </c>
      <c r="AT358">
        <f>HYPERLINK("http://www.worldcat.org/oclc/8532817","WorldCat Record")</f>
        <v/>
      </c>
      <c r="AU358" t="inlineStr">
        <is>
          <t>222595476:eng</t>
        </is>
      </c>
      <c r="AV358" t="inlineStr">
        <is>
          <t>8532817</t>
        </is>
      </c>
      <c r="AW358" t="inlineStr">
        <is>
          <t>991000008139702656</t>
        </is>
      </c>
      <c r="AX358" t="inlineStr">
        <is>
          <t>991000008139702656</t>
        </is>
      </c>
      <c r="AY358" t="inlineStr">
        <is>
          <t>2269314820002656</t>
        </is>
      </c>
      <c r="AZ358" t="inlineStr">
        <is>
          <t>BOOK</t>
        </is>
      </c>
      <c r="BB358" t="inlineStr">
        <is>
          <t>9780822304845</t>
        </is>
      </c>
      <c r="BC358" t="inlineStr">
        <is>
          <t>32285000225671</t>
        </is>
      </c>
      <c r="BD358" t="inlineStr">
        <is>
          <t>893777590</t>
        </is>
      </c>
    </row>
    <row r="359">
      <c r="A359" t="inlineStr">
        <is>
          <t>No</t>
        </is>
      </c>
      <c r="B359" t="inlineStr">
        <is>
          <t>HV553 .A585 1999</t>
        </is>
      </c>
      <c r="C359" t="inlineStr">
        <is>
          <t>0                      HV 0553000A  585         1999</t>
        </is>
      </c>
      <c r="D359" t="inlineStr">
        <is>
          <t>The angry earth : disaster in anthropological perspective / edited by Anthony Oliver-Smith and Susanna M. Hoffman.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New York : Routledge, 1999.</t>
        </is>
      </c>
      <c r="M359" t="inlineStr">
        <is>
          <t>1999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HV </t>
        </is>
      </c>
      <c r="S359" t="n">
        <v>4</v>
      </c>
      <c r="T359" t="n">
        <v>4</v>
      </c>
      <c r="U359" t="inlineStr">
        <is>
          <t>2005-03-23</t>
        </is>
      </c>
      <c r="V359" t="inlineStr">
        <is>
          <t>2005-03-23</t>
        </is>
      </c>
      <c r="W359" t="inlineStr">
        <is>
          <t>2003-11-20</t>
        </is>
      </c>
      <c r="X359" t="inlineStr">
        <is>
          <t>2003-11-20</t>
        </is>
      </c>
      <c r="Y359" t="n">
        <v>373</v>
      </c>
      <c r="Z359" t="n">
        <v>244</v>
      </c>
      <c r="AA359" t="n">
        <v>299</v>
      </c>
      <c r="AB359" t="n">
        <v>3</v>
      </c>
      <c r="AC359" t="n">
        <v>3</v>
      </c>
      <c r="AD359" t="n">
        <v>8</v>
      </c>
      <c r="AE359" t="n">
        <v>8</v>
      </c>
      <c r="AF359" t="n">
        <v>3</v>
      </c>
      <c r="AG359" t="n">
        <v>3</v>
      </c>
      <c r="AH359" t="n">
        <v>1</v>
      </c>
      <c r="AI359" t="n">
        <v>1</v>
      </c>
      <c r="AJ359" t="n">
        <v>4</v>
      </c>
      <c r="AK359" t="n">
        <v>4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HYPERLINK("https://creighton-primo.hosted.exlibrisgroup.com/primo-explore/search?tab=default_tab&amp;search_scope=EVERYTHING&amp;vid=01CRU&amp;lang=en_US&amp;offset=0&amp;query=any,contains,991004181119702656","Catalog Record")</f>
        <v/>
      </c>
      <c r="AT359">
        <f>HYPERLINK("http://www.worldcat.org/oclc/40267309","WorldCat Record")</f>
        <v/>
      </c>
      <c r="AU359" t="inlineStr">
        <is>
          <t>837013865:eng</t>
        </is>
      </c>
      <c r="AV359" t="inlineStr">
        <is>
          <t>40267309</t>
        </is>
      </c>
      <c r="AW359" t="inlineStr">
        <is>
          <t>991004181119702656</t>
        </is>
      </c>
      <c r="AX359" t="inlineStr">
        <is>
          <t>991004181119702656</t>
        </is>
      </c>
      <c r="AY359" t="inlineStr">
        <is>
          <t>2256007080002656</t>
        </is>
      </c>
      <c r="AZ359" t="inlineStr">
        <is>
          <t>BOOK</t>
        </is>
      </c>
      <c r="BB359" t="inlineStr">
        <is>
          <t>9780415919869</t>
        </is>
      </c>
      <c r="BC359" t="inlineStr">
        <is>
          <t>32285004840145</t>
        </is>
      </c>
      <c r="BD359" t="inlineStr">
        <is>
          <t>893259425</t>
        </is>
      </c>
    </row>
    <row r="360">
      <c r="A360" t="inlineStr">
        <is>
          <t>No</t>
        </is>
      </c>
      <c r="B360" t="inlineStr">
        <is>
          <t>HV553 .C74 2010</t>
        </is>
      </c>
      <c r="C360" t="inlineStr">
        <is>
          <t>0                      HV 0553000C  74          2010</t>
        </is>
      </c>
      <c r="D360" t="inlineStr">
        <is>
          <t>Creating spiritual and psychological resilience : integrating care in disaster relief work / Grant H. Brenner, Daniel H. Bush, Joshua Moses, editors.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New York : Routledge, c2010.</t>
        </is>
      </c>
      <c r="M360" t="inlineStr">
        <is>
          <t>2010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HV </t>
        </is>
      </c>
      <c r="S360" t="n">
        <v>1</v>
      </c>
      <c r="T360" t="n">
        <v>1</v>
      </c>
      <c r="U360" t="inlineStr">
        <is>
          <t>2010-10-13</t>
        </is>
      </c>
      <c r="V360" t="inlineStr">
        <is>
          <t>2010-10-13</t>
        </is>
      </c>
      <c r="W360" t="inlineStr">
        <is>
          <t>2010-10-13</t>
        </is>
      </c>
      <c r="X360" t="inlineStr">
        <is>
          <t>2010-10-13</t>
        </is>
      </c>
      <c r="Y360" t="n">
        <v>191</v>
      </c>
      <c r="Z360" t="n">
        <v>147</v>
      </c>
      <c r="AA360" t="n">
        <v>192</v>
      </c>
      <c r="AB360" t="n">
        <v>1</v>
      </c>
      <c r="AC360" t="n">
        <v>1</v>
      </c>
      <c r="AD360" t="n">
        <v>5</v>
      </c>
      <c r="AE360" t="n">
        <v>5</v>
      </c>
      <c r="AF360" t="n">
        <v>1</v>
      </c>
      <c r="AG360" t="n">
        <v>1</v>
      </c>
      <c r="AH360" t="n">
        <v>1</v>
      </c>
      <c r="AI360" t="n">
        <v>1</v>
      </c>
      <c r="AJ360" t="n">
        <v>5</v>
      </c>
      <c r="AK360" t="n">
        <v>5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HYPERLINK("https://creighton-primo.hosted.exlibrisgroup.com/primo-explore/search?tab=default_tab&amp;search_scope=EVERYTHING&amp;vid=01CRU&amp;lang=en_US&amp;offset=0&amp;query=any,contains,991000180199702656","Catalog Record")</f>
        <v/>
      </c>
      <c r="AT360">
        <f>HYPERLINK("http://www.worldcat.org/oclc/277195909","WorldCat Record")</f>
        <v/>
      </c>
      <c r="AU360" t="inlineStr">
        <is>
          <t>1075475577:eng</t>
        </is>
      </c>
      <c r="AV360" t="inlineStr">
        <is>
          <t>277195909</t>
        </is>
      </c>
      <c r="AW360" t="inlineStr">
        <is>
          <t>991000180199702656</t>
        </is>
      </c>
      <c r="AX360" t="inlineStr">
        <is>
          <t>991000180199702656</t>
        </is>
      </c>
      <c r="AY360" t="inlineStr">
        <is>
          <t>2266487500002656</t>
        </is>
      </c>
      <c r="AZ360" t="inlineStr">
        <is>
          <t>BOOK</t>
        </is>
      </c>
      <c r="BB360" t="inlineStr">
        <is>
          <t>9780789034540</t>
        </is>
      </c>
      <c r="BC360" t="inlineStr">
        <is>
          <t>32285005601736</t>
        </is>
      </c>
      <c r="BD360" t="inlineStr">
        <is>
          <t>893496006</t>
        </is>
      </c>
    </row>
    <row r="361">
      <c r="A361" t="inlineStr">
        <is>
          <t>No</t>
        </is>
      </c>
      <c r="B361" t="inlineStr">
        <is>
          <t>HV553 .F76 1996</t>
        </is>
      </c>
      <c r="C361" t="inlineStr">
        <is>
          <t>0                      HV 0553000F  76          1996</t>
        </is>
      </c>
      <c r="D361" t="inlineStr">
        <is>
          <t>From massacres to genocide : the media, public policy, and humanitarian crises / Robert I. Rotberg, Thomas G. Weiss, editors.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Washington, D.C. : Brookings Institution, c1996.</t>
        </is>
      </c>
      <c r="M361" t="inlineStr">
        <is>
          <t>1996</t>
        </is>
      </c>
      <c r="O361" t="inlineStr">
        <is>
          <t>eng</t>
        </is>
      </c>
      <c r="P361" t="inlineStr">
        <is>
          <t>dcu</t>
        </is>
      </c>
      <c r="R361" t="inlineStr">
        <is>
          <t xml:space="preserve">HV </t>
        </is>
      </c>
      <c r="S361" t="n">
        <v>4</v>
      </c>
      <c r="T361" t="n">
        <v>4</v>
      </c>
      <c r="U361" t="inlineStr">
        <is>
          <t>2009-11-06</t>
        </is>
      </c>
      <c r="V361" t="inlineStr">
        <is>
          <t>2009-11-06</t>
        </is>
      </c>
      <c r="W361" t="inlineStr">
        <is>
          <t>1997-03-20</t>
        </is>
      </c>
      <c r="X361" t="inlineStr">
        <is>
          <t>1997-03-20</t>
        </is>
      </c>
      <c r="Y361" t="n">
        <v>632</v>
      </c>
      <c r="Z361" t="n">
        <v>502</v>
      </c>
      <c r="AA361" t="n">
        <v>961</v>
      </c>
      <c r="AB361" t="n">
        <v>2</v>
      </c>
      <c r="AC361" t="n">
        <v>3</v>
      </c>
      <c r="AD361" t="n">
        <v>30</v>
      </c>
      <c r="AE361" t="n">
        <v>33</v>
      </c>
      <c r="AF361" t="n">
        <v>12</v>
      </c>
      <c r="AG361" t="n">
        <v>14</v>
      </c>
      <c r="AH361" t="n">
        <v>7</v>
      </c>
      <c r="AI361" t="n">
        <v>8</v>
      </c>
      <c r="AJ361" t="n">
        <v>16</v>
      </c>
      <c r="AK361" t="n">
        <v>16</v>
      </c>
      <c r="AL361" t="n">
        <v>1</v>
      </c>
      <c r="AM361" t="n">
        <v>2</v>
      </c>
      <c r="AN361" t="n">
        <v>2</v>
      </c>
      <c r="AO361" t="n">
        <v>2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HYPERLINK("https://creighton-primo.hosted.exlibrisgroup.com/primo-explore/search?tab=default_tab&amp;search_scope=EVERYTHING&amp;vid=01CRU&amp;lang=en_US&amp;offset=0&amp;query=any,contains,991002580179702656","Catalog Record")</f>
        <v/>
      </c>
      <c r="AT361">
        <f>HYPERLINK("http://www.worldcat.org/oclc/33818317","WorldCat Record")</f>
        <v/>
      </c>
      <c r="AU361" t="inlineStr">
        <is>
          <t>800082725:eng</t>
        </is>
      </c>
      <c r="AV361" t="inlineStr">
        <is>
          <t>33818317</t>
        </is>
      </c>
      <c r="AW361" t="inlineStr">
        <is>
          <t>991002580179702656</t>
        </is>
      </c>
      <c r="AX361" t="inlineStr">
        <is>
          <t>991002580179702656</t>
        </is>
      </c>
      <c r="AY361" t="inlineStr">
        <is>
          <t>2270471470002656</t>
        </is>
      </c>
      <c r="AZ361" t="inlineStr">
        <is>
          <t>BOOK</t>
        </is>
      </c>
      <c r="BB361" t="inlineStr">
        <is>
          <t>9780815775898</t>
        </is>
      </c>
      <c r="BC361" t="inlineStr">
        <is>
          <t>32285002444718</t>
        </is>
      </c>
      <c r="BD361" t="inlineStr">
        <is>
          <t>893335463</t>
        </is>
      </c>
    </row>
    <row r="362">
      <c r="A362" t="inlineStr">
        <is>
          <t>No</t>
        </is>
      </c>
      <c r="B362" t="inlineStr">
        <is>
          <t>HV553 .H84 2009</t>
        </is>
      </c>
      <c r="C362" t="inlineStr">
        <is>
          <t>0                      HV 0553000H  84          2009</t>
        </is>
      </c>
      <c r="D362" t="inlineStr">
        <is>
          <t>Humanitarian assistance : improving U.S.-European cooperation / edited by Julia Steets and Daniel S. Hamilton.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[Washington, D. C.] : Center for Transatlantic Relations, Johns Hopkins University ; [Berlin, Germany] : Global Public Policy Institute, c2009.</t>
        </is>
      </c>
      <c r="M362" t="inlineStr">
        <is>
          <t>2009</t>
        </is>
      </c>
      <c r="O362" t="inlineStr">
        <is>
          <t>eng</t>
        </is>
      </c>
      <c r="P362" t="inlineStr">
        <is>
          <t>dcu</t>
        </is>
      </c>
      <c r="R362" t="inlineStr">
        <is>
          <t xml:space="preserve">HV </t>
        </is>
      </c>
      <c r="S362" t="n">
        <v>2</v>
      </c>
      <c r="T362" t="n">
        <v>2</v>
      </c>
      <c r="U362" t="inlineStr">
        <is>
          <t>2010-12-15</t>
        </is>
      </c>
      <c r="V362" t="inlineStr">
        <is>
          <t>2010-12-15</t>
        </is>
      </c>
      <c r="W362" t="inlineStr">
        <is>
          <t>2010-12-15</t>
        </is>
      </c>
      <c r="X362" t="inlineStr">
        <is>
          <t>2010-12-15</t>
        </is>
      </c>
      <c r="Y362" t="n">
        <v>112</v>
      </c>
      <c r="Z362" t="n">
        <v>93</v>
      </c>
      <c r="AA362" t="n">
        <v>93</v>
      </c>
      <c r="AB362" t="n">
        <v>1</v>
      </c>
      <c r="AC362" t="n">
        <v>1</v>
      </c>
      <c r="AD362" t="n">
        <v>5</v>
      </c>
      <c r="AE362" t="n">
        <v>5</v>
      </c>
      <c r="AF362" t="n">
        <v>2</v>
      </c>
      <c r="AG362" t="n">
        <v>2</v>
      </c>
      <c r="AH362" t="n">
        <v>1</v>
      </c>
      <c r="AI362" t="n">
        <v>1</v>
      </c>
      <c r="AJ362" t="n">
        <v>3</v>
      </c>
      <c r="AK362" t="n">
        <v>3</v>
      </c>
      <c r="AL362" t="n">
        <v>0</v>
      </c>
      <c r="AM362" t="n">
        <v>0</v>
      </c>
      <c r="AN362" t="n">
        <v>1</v>
      </c>
      <c r="AO362" t="n">
        <v>1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HYPERLINK("https://creighton-primo.hosted.exlibrisgroup.com/primo-explore/search?tab=default_tab&amp;search_scope=EVERYTHING&amp;vid=01CRU&amp;lang=en_US&amp;offset=0&amp;query=any,contains,991000386159702656","Catalog Record")</f>
        <v/>
      </c>
      <c r="AT362">
        <f>HYPERLINK("http://www.worldcat.org/oclc/368048297","WorldCat Record")</f>
        <v/>
      </c>
      <c r="AU362" t="inlineStr">
        <is>
          <t>901629504:eng</t>
        </is>
      </c>
      <c r="AV362" t="inlineStr">
        <is>
          <t>368048297</t>
        </is>
      </c>
      <c r="AW362" t="inlineStr">
        <is>
          <t>991000386159702656</t>
        </is>
      </c>
      <c r="AX362" t="inlineStr">
        <is>
          <t>991000386159702656</t>
        </is>
      </c>
      <c r="AY362" t="inlineStr">
        <is>
          <t>2270610070002656</t>
        </is>
      </c>
      <c r="AZ362" t="inlineStr">
        <is>
          <t>BOOK</t>
        </is>
      </c>
      <c r="BB362" t="inlineStr">
        <is>
          <t>9780980187182</t>
        </is>
      </c>
      <c r="BC362" t="inlineStr">
        <is>
          <t>32285005651392</t>
        </is>
      </c>
      <c r="BD362" t="inlineStr">
        <is>
          <t>893515227</t>
        </is>
      </c>
    </row>
    <row r="363">
      <c r="A363" t="inlineStr">
        <is>
          <t>No</t>
        </is>
      </c>
      <c r="B363" t="inlineStr">
        <is>
          <t>HV553 .M39 1999</t>
        </is>
      </c>
      <c r="C363" t="inlineStr">
        <is>
          <t>0                      HV 0553000M  39          1999</t>
        </is>
      </c>
      <c r="D363" t="inlineStr">
        <is>
          <t>Healing communities in conflict : international assistance in complex emergencies / Kimberly A. Maynard.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Maynard, Kimberly A.</t>
        </is>
      </c>
      <c r="L363" t="inlineStr">
        <is>
          <t>New York : Columbia University Press, c1999.</t>
        </is>
      </c>
      <c r="M363" t="inlineStr">
        <is>
          <t>1999</t>
        </is>
      </c>
      <c r="O363" t="inlineStr">
        <is>
          <t>eng</t>
        </is>
      </c>
      <c r="P363" t="inlineStr">
        <is>
          <t>nyu</t>
        </is>
      </c>
      <c r="R363" t="inlineStr">
        <is>
          <t xml:space="preserve">HV </t>
        </is>
      </c>
      <c r="S363" t="n">
        <v>1</v>
      </c>
      <c r="T363" t="n">
        <v>1</v>
      </c>
      <c r="U363" t="inlineStr">
        <is>
          <t>2000-09-26</t>
        </is>
      </c>
      <c r="V363" t="inlineStr">
        <is>
          <t>2000-09-26</t>
        </is>
      </c>
      <c r="W363" t="inlineStr">
        <is>
          <t>2000-09-26</t>
        </is>
      </c>
      <c r="X363" t="inlineStr">
        <is>
          <t>2000-09-26</t>
        </is>
      </c>
      <c r="Y363" t="n">
        <v>417</v>
      </c>
      <c r="Z363" t="n">
        <v>335</v>
      </c>
      <c r="AA363" t="n">
        <v>338</v>
      </c>
      <c r="AB363" t="n">
        <v>4</v>
      </c>
      <c r="AC363" t="n">
        <v>4</v>
      </c>
      <c r="AD363" t="n">
        <v>23</v>
      </c>
      <c r="AE363" t="n">
        <v>23</v>
      </c>
      <c r="AF363" t="n">
        <v>9</v>
      </c>
      <c r="AG363" t="n">
        <v>9</v>
      </c>
      <c r="AH363" t="n">
        <v>5</v>
      </c>
      <c r="AI363" t="n">
        <v>5</v>
      </c>
      <c r="AJ363" t="n">
        <v>12</v>
      </c>
      <c r="AK363" t="n">
        <v>12</v>
      </c>
      <c r="AL363" t="n">
        <v>3</v>
      </c>
      <c r="AM363" t="n">
        <v>3</v>
      </c>
      <c r="AN363" t="n">
        <v>2</v>
      </c>
      <c r="AO363" t="n">
        <v>2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HYPERLINK("https://creighton-primo.hosted.exlibrisgroup.com/primo-explore/search?tab=default_tab&amp;search_scope=EVERYTHING&amp;vid=01CRU&amp;lang=en_US&amp;offset=0&amp;query=any,contains,991003260909702656","Catalog Record")</f>
        <v/>
      </c>
      <c r="AT363">
        <f>HYPERLINK("http://www.worldcat.org/oclc/39924122","WorldCat Record")</f>
        <v/>
      </c>
      <c r="AU363" t="inlineStr">
        <is>
          <t>836997512:eng</t>
        </is>
      </c>
      <c r="AV363" t="inlineStr">
        <is>
          <t>39924122</t>
        </is>
      </c>
      <c r="AW363" t="inlineStr">
        <is>
          <t>991003260909702656</t>
        </is>
      </c>
      <c r="AX363" t="inlineStr">
        <is>
          <t>991003260909702656</t>
        </is>
      </c>
      <c r="AY363" t="inlineStr">
        <is>
          <t>2264481740002656</t>
        </is>
      </c>
      <c r="AZ363" t="inlineStr">
        <is>
          <t>BOOK</t>
        </is>
      </c>
      <c r="BB363" t="inlineStr">
        <is>
          <t>9780231112789</t>
        </is>
      </c>
      <c r="BC363" t="inlineStr">
        <is>
          <t>32285003764676</t>
        </is>
      </c>
      <c r="BD363" t="inlineStr">
        <is>
          <t>893428607</t>
        </is>
      </c>
    </row>
    <row r="364">
      <c r="A364" t="inlineStr">
        <is>
          <t>No</t>
        </is>
      </c>
      <c r="B364" t="inlineStr">
        <is>
          <t>HV553 .N37 1997</t>
        </is>
      </c>
      <c r="C364" t="inlineStr">
        <is>
          <t>0                      HV 0553000N  37          1997</t>
        </is>
      </c>
      <c r="D364" t="inlineStr">
        <is>
          <t>U.S. foreign policy and the Four Horsemen of the Apocalypse : humanitarian relief in complex emergencies / Andrew S. Natsios ; foreword by George Bush.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Natsios, Andrew S.</t>
        </is>
      </c>
      <c r="L364" t="inlineStr">
        <is>
          <t>Westport, Conn. : Praeger, 1997.</t>
        </is>
      </c>
      <c r="M364" t="inlineStr">
        <is>
          <t>1997</t>
        </is>
      </c>
      <c r="O364" t="inlineStr">
        <is>
          <t>eng</t>
        </is>
      </c>
      <c r="P364" t="inlineStr">
        <is>
          <t>ctu</t>
        </is>
      </c>
      <c r="Q364" t="inlineStr">
        <is>
          <t>Washington papers ; 170</t>
        </is>
      </c>
      <c r="R364" t="inlineStr">
        <is>
          <t xml:space="preserve">HV </t>
        </is>
      </c>
      <c r="S364" t="n">
        <v>1</v>
      </c>
      <c r="T364" t="n">
        <v>1</v>
      </c>
      <c r="U364" t="inlineStr">
        <is>
          <t>2009-01-25</t>
        </is>
      </c>
      <c r="V364" t="inlineStr">
        <is>
          <t>2009-01-25</t>
        </is>
      </c>
      <c r="W364" t="inlineStr">
        <is>
          <t>1998-05-05</t>
        </is>
      </c>
      <c r="X364" t="inlineStr">
        <is>
          <t>1998-05-05</t>
        </is>
      </c>
      <c r="Y364" t="n">
        <v>394</v>
      </c>
      <c r="Z364" t="n">
        <v>330</v>
      </c>
      <c r="AA364" t="n">
        <v>659</v>
      </c>
      <c r="AB364" t="n">
        <v>3</v>
      </c>
      <c r="AC364" t="n">
        <v>5</v>
      </c>
      <c r="AD364" t="n">
        <v>19</v>
      </c>
      <c r="AE364" t="n">
        <v>25</v>
      </c>
      <c r="AF364" t="n">
        <v>5</v>
      </c>
      <c r="AG364" t="n">
        <v>9</v>
      </c>
      <c r="AH364" t="n">
        <v>6</v>
      </c>
      <c r="AI364" t="n">
        <v>7</v>
      </c>
      <c r="AJ364" t="n">
        <v>12</v>
      </c>
      <c r="AK364" t="n">
        <v>13</v>
      </c>
      <c r="AL364" t="n">
        <v>2</v>
      </c>
      <c r="AM364" t="n">
        <v>4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HYPERLINK("https://creighton-primo.hosted.exlibrisgroup.com/primo-explore/search?tab=default_tab&amp;search_scope=EVERYTHING&amp;vid=01CRU&amp;lang=en_US&amp;offset=0&amp;query=any,contains,991002750029702656","Catalog Record")</f>
        <v/>
      </c>
      <c r="AT364">
        <f>HYPERLINK("http://www.worldcat.org/oclc/36083681","WorldCat Record")</f>
        <v/>
      </c>
      <c r="AU364" t="inlineStr">
        <is>
          <t>797214458:eng</t>
        </is>
      </c>
      <c r="AV364" t="inlineStr">
        <is>
          <t>36083681</t>
        </is>
      </c>
      <c r="AW364" t="inlineStr">
        <is>
          <t>991002750029702656</t>
        </is>
      </c>
      <c r="AX364" t="inlineStr">
        <is>
          <t>991002750029702656</t>
        </is>
      </c>
      <c r="AY364" t="inlineStr">
        <is>
          <t>2266184210002656</t>
        </is>
      </c>
      <c r="AZ364" t="inlineStr">
        <is>
          <t>BOOK</t>
        </is>
      </c>
      <c r="BB364" t="inlineStr">
        <is>
          <t>9780275959203</t>
        </is>
      </c>
      <c r="BC364" t="inlineStr">
        <is>
          <t>32285003405817</t>
        </is>
      </c>
      <c r="BD364" t="inlineStr">
        <is>
          <t>893603968</t>
        </is>
      </c>
    </row>
    <row r="365">
      <c r="A365" t="inlineStr">
        <is>
          <t>No</t>
        </is>
      </c>
      <c r="B365" t="inlineStr">
        <is>
          <t>HV553 .R34 1986</t>
        </is>
      </c>
      <c r="C365" t="inlineStr">
        <is>
          <t>0                      HV 0553000R  34          1986</t>
        </is>
      </c>
      <c r="D365" t="inlineStr">
        <is>
          <t>When disaster strikes : how individuals and communities cope with catastrophe / Beverley Raphael.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Raphael, Beverley.</t>
        </is>
      </c>
      <c r="L365" t="inlineStr">
        <is>
          <t>New York : Basic Books, c1986.</t>
        </is>
      </c>
      <c r="M365" t="inlineStr">
        <is>
          <t>1986</t>
        </is>
      </c>
      <c r="O365" t="inlineStr">
        <is>
          <t>eng</t>
        </is>
      </c>
      <c r="P365" t="inlineStr">
        <is>
          <t>nyu</t>
        </is>
      </c>
      <c r="R365" t="inlineStr">
        <is>
          <t xml:space="preserve">HV </t>
        </is>
      </c>
      <c r="S365" t="n">
        <v>2</v>
      </c>
      <c r="T365" t="n">
        <v>2</v>
      </c>
      <c r="U365" t="inlineStr">
        <is>
          <t>2008-02-21</t>
        </is>
      </c>
      <c r="V365" t="inlineStr">
        <is>
          <t>2008-02-21</t>
        </is>
      </c>
      <c r="W365" t="inlineStr">
        <is>
          <t>1993-05-18</t>
        </is>
      </c>
      <c r="X365" t="inlineStr">
        <is>
          <t>1993-05-18</t>
        </is>
      </c>
      <c r="Y365" t="n">
        <v>708</v>
      </c>
      <c r="Z365" t="n">
        <v>617</v>
      </c>
      <c r="AA365" t="n">
        <v>634</v>
      </c>
      <c r="AB365" t="n">
        <v>5</v>
      </c>
      <c r="AC365" t="n">
        <v>5</v>
      </c>
      <c r="AD365" t="n">
        <v>20</v>
      </c>
      <c r="AE365" t="n">
        <v>22</v>
      </c>
      <c r="AF365" t="n">
        <v>8</v>
      </c>
      <c r="AG365" t="n">
        <v>9</v>
      </c>
      <c r="AH365" t="n">
        <v>4</v>
      </c>
      <c r="AI365" t="n">
        <v>5</v>
      </c>
      <c r="AJ365" t="n">
        <v>11</v>
      </c>
      <c r="AK365" t="n">
        <v>11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HYPERLINK("http://catalog.hathitrust.org/Record/000667765","HathiTrust Record")</f>
        <v/>
      </c>
      <c r="AS365">
        <f>HYPERLINK("https://creighton-primo.hosted.exlibrisgroup.com/primo-explore/search?tab=default_tab&amp;search_scope=EVERYTHING&amp;vid=01CRU&amp;lang=en_US&amp;offset=0&amp;query=any,contains,991000826929702656","Catalog Record")</f>
        <v/>
      </c>
      <c r="AT365">
        <f>HYPERLINK("http://www.worldcat.org/oclc/13423911","WorldCat Record")</f>
        <v/>
      </c>
      <c r="AU365" t="inlineStr">
        <is>
          <t>7255803:eng</t>
        </is>
      </c>
      <c r="AV365" t="inlineStr">
        <is>
          <t>13423911</t>
        </is>
      </c>
      <c r="AW365" t="inlineStr">
        <is>
          <t>991000826929702656</t>
        </is>
      </c>
      <c r="AX365" t="inlineStr">
        <is>
          <t>991000826929702656</t>
        </is>
      </c>
      <c r="AY365" t="inlineStr">
        <is>
          <t>2265991380002656</t>
        </is>
      </c>
      <c r="AZ365" t="inlineStr">
        <is>
          <t>BOOK</t>
        </is>
      </c>
      <c r="BB365" t="inlineStr">
        <is>
          <t>9780465091683</t>
        </is>
      </c>
      <c r="BC365" t="inlineStr">
        <is>
          <t>32285001681971</t>
        </is>
      </c>
      <c r="BD365" t="inlineStr">
        <is>
          <t>893496592</t>
        </is>
      </c>
    </row>
    <row r="366">
      <c r="A366" t="inlineStr">
        <is>
          <t>No</t>
        </is>
      </c>
      <c r="B366" t="inlineStr">
        <is>
          <t>HV553 .R359 1997</t>
        </is>
      </c>
      <c r="C366" t="inlineStr">
        <is>
          <t>0                      HV 0553000R  359         1997</t>
        </is>
      </c>
      <c r="D366" t="inlineStr">
        <is>
          <t>Rebuilding societies after civil war : critical roles for international assistance / edited by Krishna Kumar.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Boulder, Colo. : L. Rienner, 1997.</t>
        </is>
      </c>
      <c r="M366" t="inlineStr">
        <is>
          <t>1997</t>
        </is>
      </c>
      <c r="O366" t="inlineStr">
        <is>
          <t>eng</t>
        </is>
      </c>
      <c r="P366" t="inlineStr">
        <is>
          <t>cou</t>
        </is>
      </c>
      <c r="R366" t="inlineStr">
        <is>
          <t xml:space="preserve">HV </t>
        </is>
      </c>
      <c r="S366" t="n">
        <v>12</v>
      </c>
      <c r="T366" t="n">
        <v>12</v>
      </c>
      <c r="U366" t="inlineStr">
        <is>
          <t>2001-03-26</t>
        </is>
      </c>
      <c r="V366" t="inlineStr">
        <is>
          <t>2001-03-26</t>
        </is>
      </c>
      <c r="W366" t="inlineStr">
        <is>
          <t>1997-04-02</t>
        </is>
      </c>
      <c r="X366" t="inlineStr">
        <is>
          <t>1997-04-02</t>
        </is>
      </c>
      <c r="Y366" t="n">
        <v>379</v>
      </c>
      <c r="Z366" t="n">
        <v>257</v>
      </c>
      <c r="AA366" t="n">
        <v>262</v>
      </c>
      <c r="AB366" t="n">
        <v>2</v>
      </c>
      <c r="AC366" t="n">
        <v>2</v>
      </c>
      <c r="AD366" t="n">
        <v>15</v>
      </c>
      <c r="AE366" t="n">
        <v>15</v>
      </c>
      <c r="AF366" t="n">
        <v>4</v>
      </c>
      <c r="AG366" t="n">
        <v>4</v>
      </c>
      <c r="AH366" t="n">
        <v>4</v>
      </c>
      <c r="AI366" t="n">
        <v>4</v>
      </c>
      <c r="AJ366" t="n">
        <v>9</v>
      </c>
      <c r="AK366" t="n">
        <v>9</v>
      </c>
      <c r="AL366" t="n">
        <v>1</v>
      </c>
      <c r="AM366" t="n">
        <v>1</v>
      </c>
      <c r="AN366" t="n">
        <v>2</v>
      </c>
      <c r="AO366" t="n">
        <v>2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HYPERLINK("https://creighton-primo.hosted.exlibrisgroup.com/primo-explore/search?tab=default_tab&amp;search_scope=EVERYTHING&amp;vid=01CRU&amp;lang=en_US&amp;offset=0&amp;query=any,contains,991002668479702656","Catalog Record")</f>
        <v/>
      </c>
      <c r="AT366">
        <f>HYPERLINK("http://www.worldcat.org/oclc/34906152","WorldCat Record")</f>
        <v/>
      </c>
      <c r="AU366" t="inlineStr">
        <is>
          <t>890380126:eng</t>
        </is>
      </c>
      <c r="AV366" t="inlineStr">
        <is>
          <t>34906152</t>
        </is>
      </c>
      <c r="AW366" t="inlineStr">
        <is>
          <t>991002668479702656</t>
        </is>
      </c>
      <c r="AX366" t="inlineStr">
        <is>
          <t>991002668479702656</t>
        </is>
      </c>
      <c r="AY366" t="inlineStr">
        <is>
          <t>2262000710002656</t>
        </is>
      </c>
      <c r="AZ366" t="inlineStr">
        <is>
          <t>BOOK</t>
        </is>
      </c>
      <c r="BB366" t="inlineStr">
        <is>
          <t>9781555876425</t>
        </is>
      </c>
      <c r="BC366" t="inlineStr">
        <is>
          <t>32285002477825</t>
        </is>
      </c>
      <c r="BD366" t="inlineStr">
        <is>
          <t>893427856</t>
        </is>
      </c>
    </row>
    <row r="367">
      <c r="A367" t="inlineStr">
        <is>
          <t>No</t>
        </is>
      </c>
      <c r="B367" t="inlineStr">
        <is>
          <t>HV553 .R45 2007</t>
        </is>
      </c>
      <c r="C367" t="inlineStr">
        <is>
          <t>0                      HV 0553000R  45          2007</t>
        </is>
      </c>
      <c r="D367" t="inlineStr">
        <is>
          <t>Beyond disasters : creating opportunities for peace / Michael Renner and Zoë Chafe ; Lisa Mastny, editor.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Renner, Michael, 1957-</t>
        </is>
      </c>
      <c r="L367" t="inlineStr">
        <is>
          <t>Washington, D.C. : Worldwatch Institute, c2007.</t>
        </is>
      </c>
      <c r="M367" t="inlineStr">
        <is>
          <t>2007</t>
        </is>
      </c>
      <c r="O367" t="inlineStr">
        <is>
          <t>eng</t>
        </is>
      </c>
      <c r="P367" t="inlineStr">
        <is>
          <t>dcu</t>
        </is>
      </c>
      <c r="Q367" t="inlineStr">
        <is>
          <t>Worldwatch report</t>
        </is>
      </c>
      <c r="R367" t="inlineStr">
        <is>
          <t xml:space="preserve">HV </t>
        </is>
      </c>
      <c r="S367" t="n">
        <v>2</v>
      </c>
      <c r="T367" t="n">
        <v>2</v>
      </c>
      <c r="U367" t="inlineStr">
        <is>
          <t>2008-02-21</t>
        </is>
      </c>
      <c r="V367" t="inlineStr">
        <is>
          <t>2008-02-21</t>
        </is>
      </c>
      <c r="W367" t="inlineStr">
        <is>
          <t>2007-10-08</t>
        </is>
      </c>
      <c r="X367" t="inlineStr">
        <is>
          <t>2007-10-08</t>
        </is>
      </c>
      <c r="Y367" t="n">
        <v>387</v>
      </c>
      <c r="Z367" t="n">
        <v>334</v>
      </c>
      <c r="AA367" t="n">
        <v>338</v>
      </c>
      <c r="AB367" t="n">
        <v>5</v>
      </c>
      <c r="AC367" t="n">
        <v>5</v>
      </c>
      <c r="AD367" t="n">
        <v>17</v>
      </c>
      <c r="AE367" t="n">
        <v>17</v>
      </c>
      <c r="AF367" t="n">
        <v>6</v>
      </c>
      <c r="AG367" t="n">
        <v>6</v>
      </c>
      <c r="AH367" t="n">
        <v>4</v>
      </c>
      <c r="AI367" t="n">
        <v>4</v>
      </c>
      <c r="AJ367" t="n">
        <v>8</v>
      </c>
      <c r="AK367" t="n">
        <v>8</v>
      </c>
      <c r="AL367" t="n">
        <v>4</v>
      </c>
      <c r="AM367" t="n">
        <v>4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HYPERLINK("https://creighton-primo.hosted.exlibrisgroup.com/primo-explore/search?tab=default_tab&amp;search_scope=EVERYTHING&amp;vid=01CRU&amp;lang=en_US&amp;offset=0&amp;query=any,contains,991005123369702656","Catalog Record")</f>
        <v/>
      </c>
      <c r="AT367">
        <f>HYPERLINK("http://www.worldcat.org/oclc/153294338","WorldCat Record")</f>
        <v/>
      </c>
      <c r="AU367" t="inlineStr">
        <is>
          <t>104308627:eng</t>
        </is>
      </c>
      <c r="AV367" t="inlineStr">
        <is>
          <t>153294338</t>
        </is>
      </c>
      <c r="AW367" t="inlineStr">
        <is>
          <t>991005123369702656</t>
        </is>
      </c>
      <c r="AX367" t="inlineStr">
        <is>
          <t>991005123369702656</t>
        </is>
      </c>
      <c r="AY367" t="inlineStr">
        <is>
          <t>2271993110002656</t>
        </is>
      </c>
      <c r="AZ367" t="inlineStr">
        <is>
          <t>BOOK</t>
        </is>
      </c>
      <c r="BC367" t="inlineStr">
        <is>
          <t>32285005328975</t>
        </is>
      </c>
      <c r="BD367" t="inlineStr">
        <is>
          <t>893430892</t>
        </is>
      </c>
    </row>
    <row r="368">
      <c r="A368" t="inlineStr">
        <is>
          <t>No</t>
        </is>
      </c>
      <c r="B368" t="inlineStr">
        <is>
          <t>HV553 .W48 2005</t>
        </is>
      </c>
      <c r="C368" t="inlineStr">
        <is>
          <t>0                      HV 0553000W  48          2005</t>
        </is>
      </c>
      <c r="D368" t="inlineStr">
        <is>
          <t>When their world falls apart : helping families and children manage the effects of disasters / Lawrence B. Rosenfeld ... [et al.].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Washington, DC : NASW Press, c2005.</t>
        </is>
      </c>
      <c r="M368" t="inlineStr">
        <is>
          <t>2005</t>
        </is>
      </c>
      <c r="O368" t="inlineStr">
        <is>
          <t>eng</t>
        </is>
      </c>
      <c r="P368" t="inlineStr">
        <is>
          <t>dcu</t>
        </is>
      </c>
      <c r="R368" t="inlineStr">
        <is>
          <t xml:space="preserve">HV </t>
        </is>
      </c>
      <c r="S368" t="n">
        <v>1</v>
      </c>
      <c r="T368" t="n">
        <v>1</v>
      </c>
      <c r="U368" t="inlineStr">
        <is>
          <t>2006-01-24</t>
        </is>
      </c>
      <c r="V368" t="inlineStr">
        <is>
          <t>2006-01-24</t>
        </is>
      </c>
      <c r="W368" t="inlineStr">
        <is>
          <t>2006-01-24</t>
        </is>
      </c>
      <c r="X368" t="inlineStr">
        <is>
          <t>2006-01-24</t>
        </is>
      </c>
      <c r="Y368" t="n">
        <v>428</v>
      </c>
      <c r="Z368" t="n">
        <v>375</v>
      </c>
      <c r="AA368" t="n">
        <v>473</v>
      </c>
      <c r="AB368" t="n">
        <v>2</v>
      </c>
      <c r="AC368" t="n">
        <v>3</v>
      </c>
      <c r="AD368" t="n">
        <v>15</v>
      </c>
      <c r="AE368" t="n">
        <v>17</v>
      </c>
      <c r="AF368" t="n">
        <v>6</v>
      </c>
      <c r="AG368" t="n">
        <v>6</v>
      </c>
      <c r="AH368" t="n">
        <v>3</v>
      </c>
      <c r="AI368" t="n">
        <v>4</v>
      </c>
      <c r="AJ368" t="n">
        <v>7</v>
      </c>
      <c r="AK368" t="n">
        <v>8</v>
      </c>
      <c r="AL368" t="n">
        <v>1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HYPERLINK("http://catalog.hathitrust.org/Record/004937852","HathiTrust Record")</f>
        <v/>
      </c>
      <c r="AS368">
        <f>HYPERLINK("https://creighton-primo.hosted.exlibrisgroup.com/primo-explore/search?tab=default_tab&amp;search_scope=EVERYTHING&amp;vid=01CRU&amp;lang=en_US&amp;offset=0&amp;query=any,contains,991004680869702656","Catalog Record")</f>
        <v/>
      </c>
      <c r="AT368">
        <f>HYPERLINK("http://www.worldcat.org/oclc/52799262","WorldCat Record")</f>
        <v/>
      </c>
      <c r="AU368" t="inlineStr">
        <is>
          <t>905879378:eng</t>
        </is>
      </c>
      <c r="AV368" t="inlineStr">
        <is>
          <t>52799262</t>
        </is>
      </c>
      <c r="AW368" t="inlineStr">
        <is>
          <t>991004680869702656</t>
        </is>
      </c>
      <c r="AX368" t="inlineStr">
        <is>
          <t>991004680869702656</t>
        </is>
      </c>
      <c r="AY368" t="inlineStr">
        <is>
          <t>2260776960002656</t>
        </is>
      </c>
      <c r="AZ368" t="inlineStr">
        <is>
          <t>BOOK</t>
        </is>
      </c>
      <c r="BB368" t="inlineStr">
        <is>
          <t>9780871013583</t>
        </is>
      </c>
      <c r="BC368" t="inlineStr">
        <is>
          <t>32285005106751</t>
        </is>
      </c>
      <c r="BD368" t="inlineStr">
        <is>
          <t>893876449</t>
        </is>
      </c>
    </row>
    <row r="369">
      <c r="A369" t="inlineStr">
        <is>
          <t>No</t>
        </is>
      </c>
      <c r="B369" t="inlineStr">
        <is>
          <t>HV555.A435 P74 1996</t>
        </is>
      </c>
      <c r="C369" t="inlineStr">
        <is>
          <t>0                      HV 0555000A  435                P  74          1996</t>
        </is>
      </c>
      <c r="D369" t="inlineStr">
        <is>
          <t>Frontline diplomacy : humanitarian aid and conflict in Africa / John Prendergast.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Prendergast, John, 1963-</t>
        </is>
      </c>
      <c r="L369" t="inlineStr">
        <is>
          <t>Boulder, Colo. : L. Rienner, 1996.</t>
        </is>
      </c>
      <c r="M369" t="inlineStr">
        <is>
          <t>1996</t>
        </is>
      </c>
      <c r="O369" t="inlineStr">
        <is>
          <t>eng</t>
        </is>
      </c>
      <c r="P369" t="inlineStr">
        <is>
          <t>cou</t>
        </is>
      </c>
      <c r="R369" t="inlineStr">
        <is>
          <t xml:space="preserve">HV </t>
        </is>
      </c>
      <c r="S369" t="n">
        <v>5</v>
      </c>
      <c r="T369" t="n">
        <v>5</v>
      </c>
      <c r="U369" t="inlineStr">
        <is>
          <t>2000-03-21</t>
        </is>
      </c>
      <c r="V369" t="inlineStr">
        <is>
          <t>2000-03-21</t>
        </is>
      </c>
      <c r="W369" t="inlineStr">
        <is>
          <t>1997-04-17</t>
        </is>
      </c>
      <c r="X369" t="inlineStr">
        <is>
          <t>1997-04-17</t>
        </is>
      </c>
      <c r="Y369" t="n">
        <v>386</v>
      </c>
      <c r="Z369" t="n">
        <v>269</v>
      </c>
      <c r="AA369" t="n">
        <v>269</v>
      </c>
      <c r="AB369" t="n">
        <v>3</v>
      </c>
      <c r="AC369" t="n">
        <v>3</v>
      </c>
      <c r="AD369" t="n">
        <v>16</v>
      </c>
      <c r="AE369" t="n">
        <v>16</v>
      </c>
      <c r="AF369" t="n">
        <v>4</v>
      </c>
      <c r="AG369" t="n">
        <v>4</v>
      </c>
      <c r="AH369" t="n">
        <v>4</v>
      </c>
      <c r="AI369" t="n">
        <v>4</v>
      </c>
      <c r="AJ369" t="n">
        <v>9</v>
      </c>
      <c r="AK369" t="n">
        <v>9</v>
      </c>
      <c r="AL369" t="n">
        <v>2</v>
      </c>
      <c r="AM369" t="n">
        <v>2</v>
      </c>
      <c r="AN369" t="n">
        <v>1</v>
      </c>
      <c r="AO369" t="n">
        <v>1</v>
      </c>
      <c r="AP369" t="inlineStr">
        <is>
          <t>No</t>
        </is>
      </c>
      <c r="AQ369" t="inlineStr">
        <is>
          <t>No</t>
        </is>
      </c>
      <c r="AS369">
        <f>HYPERLINK("https://creighton-primo.hosted.exlibrisgroup.com/primo-explore/search?tab=default_tab&amp;search_scope=EVERYTHING&amp;vid=01CRU&amp;lang=en_US&amp;offset=0&amp;query=any,contains,991002673709702656","Catalog Record")</f>
        <v/>
      </c>
      <c r="AT369">
        <f>HYPERLINK("http://www.worldcat.org/oclc/34965547","WorldCat Record")</f>
        <v/>
      </c>
      <c r="AU369" t="inlineStr">
        <is>
          <t>2996408:eng</t>
        </is>
      </c>
      <c r="AV369" t="inlineStr">
        <is>
          <t>34965547</t>
        </is>
      </c>
      <c r="AW369" t="inlineStr">
        <is>
          <t>991002673709702656</t>
        </is>
      </c>
      <c r="AX369" t="inlineStr">
        <is>
          <t>991002673709702656</t>
        </is>
      </c>
      <c r="AY369" t="inlineStr">
        <is>
          <t>2261385980002656</t>
        </is>
      </c>
      <c r="AZ369" t="inlineStr">
        <is>
          <t>BOOK</t>
        </is>
      </c>
      <c r="BB369" t="inlineStr">
        <is>
          <t>9781555876968</t>
        </is>
      </c>
      <c r="BC369" t="inlineStr">
        <is>
          <t>32285002498060</t>
        </is>
      </c>
      <c r="BD369" t="inlineStr">
        <is>
          <t>893616411</t>
        </is>
      </c>
    </row>
    <row r="370">
      <c r="A370" t="inlineStr">
        <is>
          <t>No</t>
        </is>
      </c>
      <c r="B370" t="inlineStr">
        <is>
          <t>HV555.U6 A59</t>
        </is>
      </c>
      <c r="C370" t="inlineStr">
        <is>
          <t>0                      HV 0555000U  6                  A  59</t>
        </is>
      </c>
      <c r="D370" t="inlineStr">
        <is>
          <t>After the clean-up : long range effects of natural disasters / by James D. Wright ... [et al.].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L370" t="inlineStr">
        <is>
          <t>Beverly Hills : Sage Publications, c1979.</t>
        </is>
      </c>
      <c r="M370" t="inlineStr">
        <is>
          <t>1979</t>
        </is>
      </c>
      <c r="O370" t="inlineStr">
        <is>
          <t>eng</t>
        </is>
      </c>
      <c r="P370" t="inlineStr">
        <is>
          <t>cau</t>
        </is>
      </c>
      <c r="Q370" t="inlineStr">
        <is>
          <t>Contemporary evaluation research ; v. 2</t>
        </is>
      </c>
      <c r="R370" t="inlineStr">
        <is>
          <t xml:space="preserve">HV </t>
        </is>
      </c>
      <c r="S370" t="n">
        <v>14</v>
      </c>
      <c r="T370" t="n">
        <v>14</v>
      </c>
      <c r="U370" t="inlineStr">
        <is>
          <t>2008-02-21</t>
        </is>
      </c>
      <c r="V370" t="inlineStr">
        <is>
          <t>2008-02-21</t>
        </is>
      </c>
      <c r="W370" t="inlineStr">
        <is>
          <t>1993-05-18</t>
        </is>
      </c>
      <c r="X370" t="inlineStr">
        <is>
          <t>1993-05-18</t>
        </is>
      </c>
      <c r="Y370" t="n">
        <v>274</v>
      </c>
      <c r="Z370" t="n">
        <v>233</v>
      </c>
      <c r="AA370" t="n">
        <v>235</v>
      </c>
      <c r="AB370" t="n">
        <v>2</v>
      </c>
      <c r="AC370" t="n">
        <v>2</v>
      </c>
      <c r="AD370" t="n">
        <v>6</v>
      </c>
      <c r="AE370" t="n">
        <v>6</v>
      </c>
      <c r="AF370" t="n">
        <v>2</v>
      </c>
      <c r="AG370" t="n">
        <v>2</v>
      </c>
      <c r="AH370" t="n">
        <v>1</v>
      </c>
      <c r="AI370" t="n">
        <v>1</v>
      </c>
      <c r="AJ370" t="n">
        <v>4</v>
      </c>
      <c r="AK370" t="n">
        <v>4</v>
      </c>
      <c r="AL370" t="n">
        <v>1</v>
      </c>
      <c r="AM370" t="n">
        <v>1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HYPERLINK("https://creighton-primo.hosted.exlibrisgroup.com/primo-explore/search?tab=default_tab&amp;search_scope=EVERYTHING&amp;vid=01CRU&amp;lang=en_US&amp;offset=0&amp;query=any,contains,991004776539702656","Catalog Record")</f>
        <v/>
      </c>
      <c r="AT370">
        <f>HYPERLINK("http://www.worldcat.org/oclc/5101385","WorldCat Record")</f>
        <v/>
      </c>
      <c r="AU370" t="inlineStr">
        <is>
          <t>54301375:eng</t>
        </is>
      </c>
      <c r="AV370" t="inlineStr">
        <is>
          <t>5101385</t>
        </is>
      </c>
      <c r="AW370" t="inlineStr">
        <is>
          <t>991004776539702656</t>
        </is>
      </c>
      <c r="AX370" t="inlineStr">
        <is>
          <t>991004776539702656</t>
        </is>
      </c>
      <c r="AY370" t="inlineStr">
        <is>
          <t>2259278350002656</t>
        </is>
      </c>
      <c r="AZ370" t="inlineStr">
        <is>
          <t>BOOK</t>
        </is>
      </c>
      <c r="BB370" t="inlineStr">
        <is>
          <t>9780803911949</t>
        </is>
      </c>
      <c r="BC370" t="inlineStr">
        <is>
          <t>32285001681997</t>
        </is>
      </c>
      <c r="BD370" t="inlineStr">
        <is>
          <t>893430483</t>
        </is>
      </c>
    </row>
    <row r="371">
      <c r="A371" t="inlineStr">
        <is>
          <t>No</t>
        </is>
      </c>
      <c r="B371" t="inlineStr">
        <is>
          <t>HV555.U6 M37 1986</t>
        </is>
      </c>
      <c r="C371" t="inlineStr">
        <is>
          <t>0                      HV 0555000U  6                  M  37          1986</t>
        </is>
      </c>
      <c r="D371" t="inlineStr">
        <is>
          <t>Disaster policy implementation : managing programs under shared governance / Peter J. May and Walter Williams.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May, Peter J.</t>
        </is>
      </c>
      <c r="L371" t="inlineStr">
        <is>
          <t>New York : Plenum Press, c1986.</t>
        </is>
      </c>
      <c r="M371" t="inlineStr">
        <is>
          <t>1986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HV </t>
        </is>
      </c>
      <c r="S371" t="n">
        <v>6</v>
      </c>
      <c r="T371" t="n">
        <v>6</v>
      </c>
      <c r="U371" t="inlineStr">
        <is>
          <t>1999-11-17</t>
        </is>
      </c>
      <c r="V371" t="inlineStr">
        <is>
          <t>1999-11-17</t>
        </is>
      </c>
      <c r="W371" t="inlineStr">
        <is>
          <t>1993-05-18</t>
        </is>
      </c>
      <c r="X371" t="inlineStr">
        <is>
          <t>1993-05-18</t>
        </is>
      </c>
      <c r="Y371" t="n">
        <v>259</v>
      </c>
      <c r="Z371" t="n">
        <v>195</v>
      </c>
      <c r="AA371" t="n">
        <v>216</v>
      </c>
      <c r="AB371" t="n">
        <v>4</v>
      </c>
      <c r="AC371" t="n">
        <v>4</v>
      </c>
      <c r="AD371" t="n">
        <v>8</v>
      </c>
      <c r="AE371" t="n">
        <v>9</v>
      </c>
      <c r="AF371" t="n">
        <v>2</v>
      </c>
      <c r="AG371" t="n">
        <v>3</v>
      </c>
      <c r="AH371" t="n">
        <v>2</v>
      </c>
      <c r="AI371" t="n">
        <v>2</v>
      </c>
      <c r="AJ371" t="n">
        <v>3</v>
      </c>
      <c r="AK371" t="n">
        <v>4</v>
      </c>
      <c r="AL371" t="n">
        <v>2</v>
      </c>
      <c r="AM371" t="n">
        <v>2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HYPERLINK("http://catalog.hathitrust.org/Record/000588540","HathiTrust Record")</f>
        <v/>
      </c>
      <c r="AS371">
        <f>HYPERLINK("https://creighton-primo.hosted.exlibrisgroup.com/primo-explore/search?tab=default_tab&amp;search_scope=EVERYTHING&amp;vid=01CRU&amp;lang=en_US&amp;offset=0&amp;query=any,contains,991000802289702656","Catalog Record")</f>
        <v/>
      </c>
      <c r="AT371">
        <f>HYPERLINK("http://www.worldcat.org/oclc/13268696","WorldCat Record")</f>
        <v/>
      </c>
      <c r="AU371" t="inlineStr">
        <is>
          <t>6993816:eng</t>
        </is>
      </c>
      <c r="AV371" t="inlineStr">
        <is>
          <t>13268696</t>
        </is>
      </c>
      <c r="AW371" t="inlineStr">
        <is>
          <t>991000802289702656</t>
        </is>
      </c>
      <c r="AX371" t="inlineStr">
        <is>
          <t>991000802289702656</t>
        </is>
      </c>
      <c r="AY371" t="inlineStr">
        <is>
          <t>2260174260002656</t>
        </is>
      </c>
      <c r="AZ371" t="inlineStr">
        <is>
          <t>BOOK</t>
        </is>
      </c>
      <c r="BB371" t="inlineStr">
        <is>
          <t>9780306421792</t>
        </is>
      </c>
      <c r="BC371" t="inlineStr">
        <is>
          <t>32285001682003</t>
        </is>
      </c>
      <c r="BD371" t="inlineStr">
        <is>
          <t>893438613</t>
        </is>
      </c>
    </row>
    <row r="372">
      <c r="A372" t="inlineStr">
        <is>
          <t>No</t>
        </is>
      </c>
      <c r="B372" t="inlineStr">
        <is>
          <t>HV568 .B2</t>
        </is>
      </c>
      <c r="C372" t="inlineStr">
        <is>
          <t>0                      HV 0568000B  2</t>
        </is>
      </c>
      <c r="D372" t="inlineStr">
        <is>
          <t>The Red Cross; a history of this remarkable international movement in the interest of humanity, by Clara Barton ...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Barton, Clara, 1821-1912.</t>
        </is>
      </c>
      <c r="L372" t="inlineStr">
        <is>
          <t>Washington, D.C., American national Red cross [c1898]</t>
        </is>
      </c>
      <c r="M372" t="inlineStr">
        <is>
          <t>1898</t>
        </is>
      </c>
      <c r="O372" t="inlineStr">
        <is>
          <t>eng</t>
        </is>
      </c>
      <c r="P372" t="inlineStr">
        <is>
          <t>dcu</t>
        </is>
      </c>
      <c r="R372" t="inlineStr">
        <is>
          <t xml:space="preserve">HV </t>
        </is>
      </c>
      <c r="S372" t="n">
        <v>5</v>
      </c>
      <c r="T372" t="n">
        <v>5</v>
      </c>
      <c r="U372" t="inlineStr">
        <is>
          <t>2007-09-10</t>
        </is>
      </c>
      <c r="V372" t="inlineStr">
        <is>
          <t>2007-09-10</t>
        </is>
      </c>
      <c r="W372" t="inlineStr">
        <is>
          <t>1997-08-21</t>
        </is>
      </c>
      <c r="X372" t="inlineStr">
        <is>
          <t>1997-08-21</t>
        </is>
      </c>
      <c r="Y372" t="n">
        <v>346</v>
      </c>
      <c r="Z372" t="n">
        <v>340</v>
      </c>
      <c r="AA372" t="n">
        <v>538</v>
      </c>
      <c r="AB372" t="n">
        <v>4</v>
      </c>
      <c r="AC372" t="n">
        <v>6</v>
      </c>
      <c r="AD372" t="n">
        <v>15</v>
      </c>
      <c r="AE372" t="n">
        <v>28</v>
      </c>
      <c r="AF372" t="n">
        <v>2</v>
      </c>
      <c r="AG372" t="n">
        <v>6</v>
      </c>
      <c r="AH372" t="n">
        <v>2</v>
      </c>
      <c r="AI372" t="n">
        <v>5</v>
      </c>
      <c r="AJ372" t="n">
        <v>8</v>
      </c>
      <c r="AK372" t="n">
        <v>10</v>
      </c>
      <c r="AL372" t="n">
        <v>3</v>
      </c>
      <c r="AM372" t="n">
        <v>4</v>
      </c>
      <c r="AN372" t="n">
        <v>0</v>
      </c>
      <c r="AO372" t="n">
        <v>6</v>
      </c>
      <c r="AP372" t="inlineStr">
        <is>
          <t>Yes</t>
        </is>
      </c>
      <c r="AQ372" t="inlineStr">
        <is>
          <t>No</t>
        </is>
      </c>
      <c r="AR372">
        <f>HYPERLINK("http://catalog.hathitrust.org/Record/002433889","HathiTrust Record")</f>
        <v/>
      </c>
      <c r="AS372">
        <f>HYPERLINK("https://creighton-primo.hosted.exlibrisgroup.com/primo-explore/search?tab=default_tab&amp;search_scope=EVERYTHING&amp;vid=01CRU&amp;lang=en_US&amp;offset=0&amp;query=any,contains,991003823259702656","Catalog Record")</f>
        <v/>
      </c>
      <c r="AT372">
        <f>HYPERLINK("http://www.worldcat.org/oclc/17484679","WorldCat Record")</f>
        <v/>
      </c>
      <c r="AU372" t="inlineStr">
        <is>
          <t>15962644:eng</t>
        </is>
      </c>
      <c r="AV372" t="inlineStr">
        <is>
          <t>17484679</t>
        </is>
      </c>
      <c r="AW372" t="inlineStr">
        <is>
          <t>991003823259702656</t>
        </is>
      </c>
      <c r="AX372" t="inlineStr">
        <is>
          <t>991003823259702656</t>
        </is>
      </c>
      <c r="AY372" t="inlineStr">
        <is>
          <t>2263398360002656</t>
        </is>
      </c>
      <c r="AZ372" t="inlineStr">
        <is>
          <t>BOOK</t>
        </is>
      </c>
      <c r="BC372" t="inlineStr">
        <is>
          <t>32285003156006</t>
        </is>
      </c>
      <c r="BD372" t="inlineStr">
        <is>
          <t>893611488</t>
        </is>
      </c>
    </row>
    <row r="373">
      <c r="A373" t="inlineStr">
        <is>
          <t>No</t>
        </is>
      </c>
      <c r="B373" t="inlineStr">
        <is>
          <t>HV568 .J62</t>
        </is>
      </c>
      <c r="C373" t="inlineStr">
        <is>
          <t>0                      HV 0568000J  62</t>
        </is>
      </c>
      <c r="D373" t="inlineStr">
        <is>
          <t>Red Cross International and the strategy of peace / by James Avery Joyce ... and a Foreword on the American National Red Cross and the Promotion of Peace by Conrad Hobbs.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Joyce, James Avery.</t>
        </is>
      </c>
      <c r="L373" t="inlineStr">
        <is>
          <t>New York : Oceana Publications, Inc., 1959.</t>
        </is>
      </c>
      <c r="M373" t="inlineStr">
        <is>
          <t>1959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HV </t>
        </is>
      </c>
      <c r="S373" t="n">
        <v>2</v>
      </c>
      <c r="T373" t="n">
        <v>2</v>
      </c>
      <c r="U373" t="inlineStr">
        <is>
          <t>2007-01-29</t>
        </is>
      </c>
      <c r="V373" t="inlineStr">
        <is>
          <t>2007-01-29</t>
        </is>
      </c>
      <c r="W373" t="inlineStr">
        <is>
          <t>1997-08-21</t>
        </is>
      </c>
      <c r="X373" t="inlineStr">
        <is>
          <t>1997-08-21</t>
        </is>
      </c>
      <c r="Y373" t="n">
        <v>156</v>
      </c>
      <c r="Z373" t="n">
        <v>123</v>
      </c>
      <c r="AA373" t="n">
        <v>308</v>
      </c>
      <c r="AB373" t="n">
        <v>3</v>
      </c>
      <c r="AC373" t="n">
        <v>3</v>
      </c>
      <c r="AD373" t="n">
        <v>7</v>
      </c>
      <c r="AE373" t="n">
        <v>14</v>
      </c>
      <c r="AF373" t="n">
        <v>2</v>
      </c>
      <c r="AG373" t="n">
        <v>3</v>
      </c>
      <c r="AH373" t="n">
        <v>2</v>
      </c>
      <c r="AI373" t="n">
        <v>4</v>
      </c>
      <c r="AJ373" t="n">
        <v>1</v>
      </c>
      <c r="AK373" t="n">
        <v>4</v>
      </c>
      <c r="AL373" t="n">
        <v>1</v>
      </c>
      <c r="AM373" t="n">
        <v>1</v>
      </c>
      <c r="AN373" t="n">
        <v>2</v>
      </c>
      <c r="AO373" t="n">
        <v>4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HYPERLINK("http://catalog.hathitrust.org/Record/010097685","HathiTrust Record")</f>
        <v/>
      </c>
      <c r="AS373">
        <f>HYPERLINK("https://creighton-primo.hosted.exlibrisgroup.com/primo-explore/search?tab=default_tab&amp;search_scope=EVERYTHING&amp;vid=01CRU&amp;lang=en_US&amp;offset=0&amp;query=any,contains,991001204249702656","Catalog Record")</f>
        <v/>
      </c>
      <c r="AT373">
        <f>HYPERLINK("http://www.worldcat.org/oclc/17339009","WorldCat Record")</f>
        <v/>
      </c>
      <c r="AU373" t="inlineStr">
        <is>
          <t>1376948:eng</t>
        </is>
      </c>
      <c r="AV373" t="inlineStr">
        <is>
          <t>17339009</t>
        </is>
      </c>
      <c r="AW373" t="inlineStr">
        <is>
          <t>991001204249702656</t>
        </is>
      </c>
      <c r="AX373" t="inlineStr">
        <is>
          <t>991001204249702656</t>
        </is>
      </c>
      <c r="AY373" t="inlineStr">
        <is>
          <t>2263604610002656</t>
        </is>
      </c>
      <c r="AZ373" t="inlineStr">
        <is>
          <t>BOOK</t>
        </is>
      </c>
      <c r="BC373" t="inlineStr">
        <is>
          <t>32285003156014</t>
        </is>
      </c>
      <c r="BD373" t="inlineStr">
        <is>
          <t>893534471</t>
        </is>
      </c>
    </row>
    <row r="374">
      <c r="A374" t="inlineStr">
        <is>
          <t>No</t>
        </is>
      </c>
      <c r="B374" t="inlineStr">
        <is>
          <t>HV57 .G56 2000</t>
        </is>
      </c>
      <c r="C374" t="inlineStr">
        <is>
          <t>0                      HV 0057000G  56          2000</t>
        </is>
      </c>
      <c r="D374" t="inlineStr">
        <is>
          <t>That's not what we meant to do : reform and its unintended consequences in twentieth-century America / Steven M. Gillon.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Gillon, Steven M.</t>
        </is>
      </c>
      <c r="L374" t="inlineStr">
        <is>
          <t>New York : W.W. Norton, c2000.</t>
        </is>
      </c>
      <c r="M374" t="inlineStr">
        <is>
          <t>2000</t>
        </is>
      </c>
      <c r="N374" t="inlineStr">
        <is>
          <t>1st ed.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HV </t>
        </is>
      </c>
      <c r="S374" t="n">
        <v>3</v>
      </c>
      <c r="T374" t="n">
        <v>3</v>
      </c>
      <c r="U374" t="inlineStr">
        <is>
          <t>2005-01-27</t>
        </is>
      </c>
      <c r="V374" t="inlineStr">
        <is>
          <t>2005-01-27</t>
        </is>
      </c>
      <c r="W374" t="inlineStr">
        <is>
          <t>2001-09-05</t>
        </is>
      </c>
      <c r="X374" t="inlineStr">
        <is>
          <t>2001-09-05</t>
        </is>
      </c>
      <c r="Y374" t="n">
        <v>871</v>
      </c>
      <c r="Z374" t="n">
        <v>810</v>
      </c>
      <c r="AA374" t="n">
        <v>811</v>
      </c>
      <c r="AB374" t="n">
        <v>4</v>
      </c>
      <c r="AC374" t="n">
        <v>4</v>
      </c>
      <c r="AD374" t="n">
        <v>39</v>
      </c>
      <c r="AE374" t="n">
        <v>39</v>
      </c>
      <c r="AF374" t="n">
        <v>19</v>
      </c>
      <c r="AG374" t="n">
        <v>19</v>
      </c>
      <c r="AH374" t="n">
        <v>9</v>
      </c>
      <c r="AI374" t="n">
        <v>9</v>
      </c>
      <c r="AJ374" t="n">
        <v>17</v>
      </c>
      <c r="AK374" t="n">
        <v>17</v>
      </c>
      <c r="AL374" t="n">
        <v>3</v>
      </c>
      <c r="AM374" t="n">
        <v>3</v>
      </c>
      <c r="AN374" t="n">
        <v>2</v>
      </c>
      <c r="AO374" t="n">
        <v>2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HYPERLINK("https://creighton-primo.hosted.exlibrisgroup.com/primo-explore/search?tab=default_tab&amp;search_scope=EVERYTHING&amp;vid=01CRU&amp;lang=en_US&amp;offset=0&amp;query=any,contains,991003596309702656","Catalog Record")</f>
        <v/>
      </c>
      <c r="AT374">
        <f>HYPERLINK("http://www.worldcat.org/oclc/42889804","WorldCat Record")</f>
        <v/>
      </c>
      <c r="AU374" t="inlineStr">
        <is>
          <t>198662206:eng</t>
        </is>
      </c>
      <c r="AV374" t="inlineStr">
        <is>
          <t>42889804</t>
        </is>
      </c>
      <c r="AW374" t="inlineStr">
        <is>
          <t>991003596309702656</t>
        </is>
      </c>
      <c r="AX374" t="inlineStr">
        <is>
          <t>991003596309702656</t>
        </is>
      </c>
      <c r="AY374" t="inlineStr">
        <is>
          <t>2260829120002656</t>
        </is>
      </c>
      <c r="AZ374" t="inlineStr">
        <is>
          <t>BOOK</t>
        </is>
      </c>
      <c r="BB374" t="inlineStr">
        <is>
          <t>9780393048841</t>
        </is>
      </c>
      <c r="BC374" t="inlineStr">
        <is>
          <t>32285004384763</t>
        </is>
      </c>
      <c r="BD374" t="inlineStr">
        <is>
          <t>893330528</t>
        </is>
      </c>
    </row>
    <row r="375">
      <c r="A375" t="inlineStr">
        <is>
          <t>No</t>
        </is>
      </c>
      <c r="B375" t="inlineStr">
        <is>
          <t>HV5732 .N3 1966aa</t>
        </is>
      </c>
      <c r="C375" t="inlineStr">
        <is>
          <t>0                      HV 5732000N  3           1966aa</t>
        </is>
      </c>
      <c r="D375" t="inlineStr">
        <is>
          <t>Studies and issues in smoking behavior / Salvatore V. Zagona: editor.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National Research Conference on Smoking Behavior (2nd : 1966 : University of Arizona)</t>
        </is>
      </c>
      <c r="L375" t="inlineStr">
        <is>
          <t>Tucson : University of Arizona Press, [1967]</t>
        </is>
      </c>
      <c r="M375" t="inlineStr">
        <is>
          <t>1967</t>
        </is>
      </c>
      <c r="O375" t="inlineStr">
        <is>
          <t>eng</t>
        </is>
      </c>
      <c r="P375" t="inlineStr">
        <is>
          <t>azu</t>
        </is>
      </c>
      <c r="R375" t="inlineStr">
        <is>
          <t xml:space="preserve">HV </t>
        </is>
      </c>
      <c r="S375" t="n">
        <v>17</v>
      </c>
      <c r="T375" t="n">
        <v>17</v>
      </c>
      <c r="U375" t="inlineStr">
        <is>
          <t>2003-04-15</t>
        </is>
      </c>
      <c r="V375" t="inlineStr">
        <is>
          <t>2003-04-15</t>
        </is>
      </c>
      <c r="W375" t="inlineStr">
        <is>
          <t>1992-03-26</t>
        </is>
      </c>
      <c r="X375" t="inlineStr">
        <is>
          <t>1992-03-26</t>
        </is>
      </c>
      <c r="Y375" t="n">
        <v>489</v>
      </c>
      <c r="Z375" t="n">
        <v>449</v>
      </c>
      <c r="AA375" t="n">
        <v>455</v>
      </c>
      <c r="AB375" t="n">
        <v>6</v>
      </c>
      <c r="AC375" t="n">
        <v>6</v>
      </c>
      <c r="AD375" t="n">
        <v>19</v>
      </c>
      <c r="AE375" t="n">
        <v>20</v>
      </c>
      <c r="AF375" t="n">
        <v>4</v>
      </c>
      <c r="AG375" t="n">
        <v>5</v>
      </c>
      <c r="AH375" t="n">
        <v>4</v>
      </c>
      <c r="AI375" t="n">
        <v>4</v>
      </c>
      <c r="AJ375" t="n">
        <v>9</v>
      </c>
      <c r="AK375" t="n">
        <v>10</v>
      </c>
      <c r="AL375" t="n">
        <v>5</v>
      </c>
      <c r="AM375" t="n">
        <v>5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HYPERLINK("https://creighton-primo.hosted.exlibrisgroup.com/primo-explore/search?tab=default_tab&amp;search_scope=EVERYTHING&amp;vid=01CRU&amp;lang=en_US&amp;offset=0&amp;query=any,contains,991004367759702656","Catalog Record")</f>
        <v/>
      </c>
      <c r="AT375">
        <f>HYPERLINK("http://www.worldcat.org/oclc/3177062","WorldCat Record")</f>
        <v/>
      </c>
      <c r="AU375" t="inlineStr">
        <is>
          <t>46777150:eng</t>
        </is>
      </c>
      <c r="AV375" t="inlineStr">
        <is>
          <t>3177062</t>
        </is>
      </c>
      <c r="AW375" t="inlineStr">
        <is>
          <t>991004367759702656</t>
        </is>
      </c>
      <c r="AX375" t="inlineStr">
        <is>
          <t>991004367759702656</t>
        </is>
      </c>
      <c r="AY375" t="inlineStr">
        <is>
          <t>2268758460002656</t>
        </is>
      </c>
      <c r="AZ375" t="inlineStr">
        <is>
          <t>BOOK</t>
        </is>
      </c>
      <c r="BC375" t="inlineStr">
        <is>
          <t>32285001029197</t>
        </is>
      </c>
      <c r="BD375" t="inlineStr">
        <is>
          <t>893806989</t>
        </is>
      </c>
    </row>
    <row r="376">
      <c r="A376" t="inlineStr">
        <is>
          <t>No</t>
        </is>
      </c>
      <c r="B376" t="inlineStr">
        <is>
          <t>HV5733 .D5</t>
        </is>
      </c>
      <c r="C376" t="inlineStr">
        <is>
          <t>0                      HV 5733000D  5</t>
        </is>
      </c>
      <c r="D376" t="inlineStr">
        <is>
          <t>Tobacco &amp; your health : the smoking controversy / [by] Harold S. Diehl.</t>
        </is>
      </c>
      <c r="F376" t="inlineStr">
        <is>
          <t>No</t>
        </is>
      </c>
      <c r="G376" t="inlineStr">
        <is>
          <t>1</t>
        </is>
      </c>
      <c r="H376" t="inlineStr">
        <is>
          <t>Yes</t>
        </is>
      </c>
      <c r="I376" t="inlineStr">
        <is>
          <t>No</t>
        </is>
      </c>
      <c r="J376" t="inlineStr">
        <is>
          <t>0</t>
        </is>
      </c>
      <c r="K376" t="inlineStr">
        <is>
          <t>Diehl, Harold S. (Harold Sheely), 1891-1973.</t>
        </is>
      </c>
      <c r="L376" t="inlineStr">
        <is>
          <t>New York : McGraw-Hill, [1969]</t>
        </is>
      </c>
      <c r="M376" t="inlineStr">
        <is>
          <t>1969</t>
        </is>
      </c>
      <c r="O376" t="inlineStr">
        <is>
          <t>eng</t>
        </is>
      </c>
      <c r="P376" t="inlineStr">
        <is>
          <t>nyu</t>
        </is>
      </c>
      <c r="Q376" t="inlineStr">
        <is>
          <t>McGraw-Hill series in health education</t>
        </is>
      </c>
      <c r="R376" t="inlineStr">
        <is>
          <t xml:space="preserve">HV </t>
        </is>
      </c>
      <c r="S376" t="n">
        <v>35</v>
      </c>
      <c r="T376" t="n">
        <v>45</v>
      </c>
      <c r="U376" t="inlineStr">
        <is>
          <t>2008-01-16</t>
        </is>
      </c>
      <c r="V376" t="inlineStr">
        <is>
          <t>2008-01-16</t>
        </is>
      </c>
      <c r="W376" t="inlineStr">
        <is>
          <t>1991-12-09</t>
        </is>
      </c>
      <c r="X376" t="inlineStr">
        <is>
          <t>1991-12-09</t>
        </is>
      </c>
      <c r="Y376" t="n">
        <v>818</v>
      </c>
      <c r="Z376" t="n">
        <v>742</v>
      </c>
      <c r="AA376" t="n">
        <v>750</v>
      </c>
      <c r="AB376" t="n">
        <v>12</v>
      </c>
      <c r="AC376" t="n">
        <v>12</v>
      </c>
      <c r="AD376" t="n">
        <v>22</v>
      </c>
      <c r="AE376" t="n">
        <v>22</v>
      </c>
      <c r="AF376" t="n">
        <v>8</v>
      </c>
      <c r="AG376" t="n">
        <v>8</v>
      </c>
      <c r="AH376" t="n">
        <v>4</v>
      </c>
      <c r="AI376" t="n">
        <v>4</v>
      </c>
      <c r="AJ376" t="n">
        <v>6</v>
      </c>
      <c r="AK376" t="n">
        <v>6</v>
      </c>
      <c r="AL376" t="n">
        <v>7</v>
      </c>
      <c r="AM376" t="n">
        <v>7</v>
      </c>
      <c r="AN376" t="n">
        <v>1</v>
      </c>
      <c r="AO376" t="n">
        <v>1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HYPERLINK("http://catalog.hathitrust.org/Record/001133650","HathiTrust Record")</f>
        <v/>
      </c>
      <c r="AS376">
        <f>HYPERLINK("https://creighton-primo.hosted.exlibrisgroup.com/primo-explore/search?tab=default_tab&amp;search_scope=EVERYTHING&amp;vid=01CRU&amp;lang=en_US&amp;offset=0&amp;query=any,contains,991001777999702656","Catalog Record")</f>
        <v/>
      </c>
      <c r="AT376">
        <f>HYPERLINK("http://www.worldcat.org/oclc/4721","WorldCat Record")</f>
        <v/>
      </c>
      <c r="AU376" t="inlineStr">
        <is>
          <t>405143:eng</t>
        </is>
      </c>
      <c r="AV376" t="inlineStr">
        <is>
          <t>4721</t>
        </is>
      </c>
      <c r="AW376" t="inlineStr">
        <is>
          <t>991001777999702656</t>
        </is>
      </c>
      <c r="AX376" t="inlineStr">
        <is>
          <t>991001777999702656</t>
        </is>
      </c>
      <c r="AY376" t="inlineStr">
        <is>
          <t>2266340840002656</t>
        </is>
      </c>
      <c r="AZ376" t="inlineStr">
        <is>
          <t>BOOK</t>
        </is>
      </c>
      <c r="BC376" t="inlineStr">
        <is>
          <t>32285000849348</t>
        </is>
      </c>
      <c r="BD376" t="inlineStr">
        <is>
          <t>893703317</t>
        </is>
      </c>
    </row>
    <row r="377">
      <c r="A377" t="inlineStr">
        <is>
          <t>No</t>
        </is>
      </c>
      <c r="B377" t="inlineStr">
        <is>
          <t>HV5735 .C67 2001</t>
        </is>
      </c>
      <c r="C377" t="inlineStr">
        <is>
          <t>0                      HV 5735000C  67          2001</t>
        </is>
      </c>
      <c r="D377" t="inlineStr">
        <is>
          <t>Tobacco : a reference handbook / Harold V. Cordry.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Cordry, Harold V., 1943-</t>
        </is>
      </c>
      <c r="L377" t="inlineStr">
        <is>
          <t>Santa Barbara, Calif. : ABC-CLIO, c2001.</t>
        </is>
      </c>
      <c r="M377" t="inlineStr">
        <is>
          <t>2001</t>
        </is>
      </c>
      <c r="O377" t="inlineStr">
        <is>
          <t>eng</t>
        </is>
      </c>
      <c r="P377" t="inlineStr">
        <is>
          <t>cau</t>
        </is>
      </c>
      <c r="Q377" t="inlineStr">
        <is>
          <t>ABC-CLIO's contemporary world issues series</t>
        </is>
      </c>
      <c r="R377" t="inlineStr">
        <is>
          <t xml:space="preserve">HV </t>
        </is>
      </c>
      <c r="S377" t="n">
        <v>6</v>
      </c>
      <c r="T377" t="n">
        <v>6</v>
      </c>
      <c r="U377" t="inlineStr">
        <is>
          <t>2009-10-27</t>
        </is>
      </c>
      <c r="V377" t="inlineStr">
        <is>
          <t>2009-10-27</t>
        </is>
      </c>
      <c r="W377" t="inlineStr">
        <is>
          <t>2001-12-06</t>
        </is>
      </c>
      <c r="X377" t="inlineStr">
        <is>
          <t>2001-12-06</t>
        </is>
      </c>
      <c r="Y377" t="n">
        <v>788</v>
      </c>
      <c r="Z377" t="n">
        <v>755</v>
      </c>
      <c r="AA377" t="n">
        <v>1121</v>
      </c>
      <c r="AB377" t="n">
        <v>7</v>
      </c>
      <c r="AC377" t="n">
        <v>8</v>
      </c>
      <c r="AD377" t="n">
        <v>27</v>
      </c>
      <c r="AE377" t="n">
        <v>34</v>
      </c>
      <c r="AF377" t="n">
        <v>12</v>
      </c>
      <c r="AG377" t="n">
        <v>16</v>
      </c>
      <c r="AH377" t="n">
        <v>3</v>
      </c>
      <c r="AI377" t="n">
        <v>5</v>
      </c>
      <c r="AJ377" t="n">
        <v>11</v>
      </c>
      <c r="AK377" t="n">
        <v>14</v>
      </c>
      <c r="AL377" t="n">
        <v>5</v>
      </c>
      <c r="AM377" t="n">
        <v>6</v>
      </c>
      <c r="AN377" t="n">
        <v>2</v>
      </c>
      <c r="AO377" t="n">
        <v>2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HYPERLINK("https://creighton-primo.hosted.exlibrisgroup.com/primo-explore/search?tab=default_tab&amp;search_scope=EVERYTHING&amp;vid=01CRU&amp;lang=en_US&amp;offset=0&amp;query=any,contains,991003686459702656","Catalog Record")</f>
        <v/>
      </c>
      <c r="AT377">
        <f>HYPERLINK("http://www.worldcat.org/oclc/47756171","WorldCat Record")</f>
        <v/>
      </c>
      <c r="AU377" t="inlineStr">
        <is>
          <t>792936505:eng</t>
        </is>
      </c>
      <c r="AV377" t="inlineStr">
        <is>
          <t>47756171</t>
        </is>
      </c>
      <c r="AW377" t="inlineStr">
        <is>
          <t>991003686459702656</t>
        </is>
      </c>
      <c r="AX377" t="inlineStr">
        <is>
          <t>991003686459702656</t>
        </is>
      </c>
      <c r="AY377" t="inlineStr">
        <is>
          <t>2258192080002656</t>
        </is>
      </c>
      <c r="AZ377" t="inlineStr">
        <is>
          <t>BOOK</t>
        </is>
      </c>
      <c r="BB377" t="inlineStr">
        <is>
          <t>9781576072240</t>
        </is>
      </c>
      <c r="BC377" t="inlineStr">
        <is>
          <t>32285005548853</t>
        </is>
      </c>
      <c r="BD377" t="inlineStr">
        <is>
          <t>893441594</t>
        </is>
      </c>
    </row>
    <row r="378">
      <c r="A378" t="inlineStr">
        <is>
          <t>No</t>
        </is>
      </c>
      <c r="B378" t="inlineStr">
        <is>
          <t>HV5740 .B79 1983</t>
        </is>
      </c>
      <c r="C378" t="inlineStr">
        <is>
          <t>0                      HV 5740000B  79          1983</t>
        </is>
      </c>
      <c r="D378" t="inlineStr">
        <is>
          <t>Are you ready to quit smoking? / Linda R. Bryson.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Bryson, Linda R.</t>
        </is>
      </c>
      <c r="L378" t="inlineStr">
        <is>
          <t>Dubuque, Iowa : Kendall/Hunt Pub. Co., c1983.</t>
        </is>
      </c>
      <c r="M378" t="inlineStr">
        <is>
          <t>1983</t>
        </is>
      </c>
      <c r="O378" t="inlineStr">
        <is>
          <t>eng</t>
        </is>
      </c>
      <c r="P378" t="inlineStr">
        <is>
          <t>iau</t>
        </is>
      </c>
      <c r="R378" t="inlineStr">
        <is>
          <t xml:space="preserve">HV </t>
        </is>
      </c>
      <c r="S378" t="n">
        <v>31</v>
      </c>
      <c r="T378" t="n">
        <v>31</v>
      </c>
      <c r="U378" t="inlineStr">
        <is>
          <t>2003-09-11</t>
        </is>
      </c>
      <c r="V378" t="inlineStr">
        <is>
          <t>2003-09-11</t>
        </is>
      </c>
      <c r="W378" t="inlineStr">
        <is>
          <t>1990-07-06</t>
        </is>
      </c>
      <c r="X378" t="inlineStr">
        <is>
          <t>1990-07-06</t>
        </is>
      </c>
      <c r="Y378" t="n">
        <v>54</v>
      </c>
      <c r="Z378" t="n">
        <v>53</v>
      </c>
      <c r="AA378" t="n">
        <v>57</v>
      </c>
      <c r="AB378" t="n">
        <v>2</v>
      </c>
      <c r="AC378" t="n">
        <v>2</v>
      </c>
      <c r="AD378" t="n">
        <v>1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1</v>
      </c>
      <c r="AM378" t="n">
        <v>1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HYPERLINK("https://creighton-primo.hosted.exlibrisgroup.com/primo-explore/search?tab=default_tab&amp;search_scope=EVERYTHING&amp;vid=01CRU&amp;lang=en_US&amp;offset=0&amp;query=any,contains,991000376589702656","Catalog Record")</f>
        <v/>
      </c>
      <c r="AT378">
        <f>HYPERLINK("http://www.worldcat.org/oclc/10468576","WorldCat Record")</f>
        <v/>
      </c>
      <c r="AU378" t="inlineStr">
        <is>
          <t>3125932:eng</t>
        </is>
      </c>
      <c r="AV378" t="inlineStr">
        <is>
          <t>10468576</t>
        </is>
      </c>
      <c r="AW378" t="inlineStr">
        <is>
          <t>991000376589702656</t>
        </is>
      </c>
      <c r="AX378" t="inlineStr">
        <is>
          <t>991000376589702656</t>
        </is>
      </c>
      <c r="AY378" t="inlineStr">
        <is>
          <t>2272225040002656</t>
        </is>
      </c>
      <c r="AZ378" t="inlineStr">
        <is>
          <t>BOOK</t>
        </is>
      </c>
      <c r="BB378" t="inlineStr">
        <is>
          <t>9780840329882</t>
        </is>
      </c>
      <c r="BC378" t="inlineStr">
        <is>
          <t>32285000225689</t>
        </is>
      </c>
      <c r="BD378" t="inlineStr">
        <is>
          <t>893626280</t>
        </is>
      </c>
    </row>
    <row r="379">
      <c r="A379" t="inlineStr">
        <is>
          <t>No</t>
        </is>
      </c>
      <c r="B379" t="inlineStr">
        <is>
          <t>HV5740 .S63</t>
        </is>
      </c>
      <c r="C379" t="inlineStr">
        <is>
          <t>0                      HV 5740000S  63</t>
        </is>
      </c>
      <c r="D379" t="inlineStr">
        <is>
          <t>They satisfy : the cigarette in American life / Robert Sobel.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Sobel, Robert, 1931 February 19-1999.</t>
        </is>
      </c>
      <c r="L379" t="inlineStr">
        <is>
          <t>New York : Anchor Press/Doubleday, 1978.</t>
        </is>
      </c>
      <c r="M379" t="inlineStr">
        <is>
          <t>1978</t>
        </is>
      </c>
      <c r="N379" t="inlineStr">
        <is>
          <t>1st ed.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HV </t>
        </is>
      </c>
      <c r="S379" t="n">
        <v>20</v>
      </c>
      <c r="T379" t="n">
        <v>20</v>
      </c>
      <c r="U379" t="inlineStr">
        <is>
          <t>2003-01-19</t>
        </is>
      </c>
      <c r="V379" t="inlineStr">
        <is>
          <t>2003-01-19</t>
        </is>
      </c>
      <c r="W379" t="inlineStr">
        <is>
          <t>1990-07-06</t>
        </is>
      </c>
      <c r="X379" t="inlineStr">
        <is>
          <t>1990-07-06</t>
        </is>
      </c>
      <c r="Y379" t="n">
        <v>653</v>
      </c>
      <c r="Z379" t="n">
        <v>619</v>
      </c>
      <c r="AA379" t="n">
        <v>625</v>
      </c>
      <c r="AB379" t="n">
        <v>4</v>
      </c>
      <c r="AC379" t="n">
        <v>4</v>
      </c>
      <c r="AD379" t="n">
        <v>11</v>
      </c>
      <c r="AE379" t="n">
        <v>11</v>
      </c>
      <c r="AF379" t="n">
        <v>5</v>
      </c>
      <c r="AG379" t="n">
        <v>5</v>
      </c>
      <c r="AH379" t="n">
        <v>3</v>
      </c>
      <c r="AI379" t="n">
        <v>3</v>
      </c>
      <c r="AJ379" t="n">
        <v>2</v>
      </c>
      <c r="AK379" t="n">
        <v>2</v>
      </c>
      <c r="AL379" t="n">
        <v>1</v>
      </c>
      <c r="AM379" t="n">
        <v>1</v>
      </c>
      <c r="AN379" t="n">
        <v>1</v>
      </c>
      <c r="AO379" t="n">
        <v>1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HYPERLINK("https://creighton-primo.hosted.exlibrisgroup.com/primo-explore/search?tab=default_tab&amp;search_scope=EVERYTHING&amp;vid=01CRU&amp;lang=en_US&amp;offset=0&amp;query=any,contains,991004606479702656","Catalog Record")</f>
        <v/>
      </c>
      <c r="AT379">
        <f>HYPERLINK("http://www.worldcat.org/oclc/4194735","WorldCat Record")</f>
        <v/>
      </c>
      <c r="AU379" t="inlineStr">
        <is>
          <t>148819135:eng</t>
        </is>
      </c>
      <c r="AV379" t="inlineStr">
        <is>
          <t>4194735</t>
        </is>
      </c>
      <c r="AW379" t="inlineStr">
        <is>
          <t>991004606479702656</t>
        </is>
      </c>
      <c r="AX379" t="inlineStr">
        <is>
          <t>991004606479702656</t>
        </is>
      </c>
      <c r="AY379" t="inlineStr">
        <is>
          <t>2262498300002656</t>
        </is>
      </c>
      <c r="AZ379" t="inlineStr">
        <is>
          <t>BOOK</t>
        </is>
      </c>
      <c r="BB379" t="inlineStr">
        <is>
          <t>9780385129565</t>
        </is>
      </c>
      <c r="BC379" t="inlineStr">
        <is>
          <t>32285000225697</t>
        </is>
      </c>
      <c r="BD379" t="inlineStr">
        <is>
          <t>893235702</t>
        </is>
      </c>
    </row>
    <row r="380">
      <c r="A380" t="inlineStr">
        <is>
          <t>No</t>
        </is>
      </c>
      <c r="B380" t="inlineStr">
        <is>
          <t>HV5751 .S85 1998</t>
        </is>
      </c>
      <c r="C380" t="inlineStr">
        <is>
          <t>0                      HV 5751000S  85          1998</t>
        </is>
      </c>
      <c r="D380" t="inlineStr">
        <is>
          <t>For your own good : the anti-smoking crusade and the tyranny of public health / Jacob Sullum.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Sullum, Jacob.</t>
        </is>
      </c>
      <c r="L380" t="inlineStr">
        <is>
          <t>New York : Free Press, c1998.</t>
        </is>
      </c>
      <c r="M380" t="inlineStr">
        <is>
          <t>1998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HV </t>
        </is>
      </c>
      <c r="S380" t="n">
        <v>18</v>
      </c>
      <c r="T380" t="n">
        <v>18</v>
      </c>
      <c r="U380" t="inlineStr">
        <is>
          <t>2010-09-10</t>
        </is>
      </c>
      <c r="V380" t="inlineStr">
        <is>
          <t>2010-09-10</t>
        </is>
      </c>
      <c r="W380" t="inlineStr">
        <is>
          <t>1998-05-12</t>
        </is>
      </c>
      <c r="X380" t="inlineStr">
        <is>
          <t>1998-05-12</t>
        </is>
      </c>
      <c r="Y380" t="n">
        <v>654</v>
      </c>
      <c r="Z380" t="n">
        <v>594</v>
      </c>
      <c r="AA380" t="n">
        <v>602</v>
      </c>
      <c r="AB380" t="n">
        <v>4</v>
      </c>
      <c r="AC380" t="n">
        <v>4</v>
      </c>
      <c r="AD380" t="n">
        <v>24</v>
      </c>
      <c r="AE380" t="n">
        <v>24</v>
      </c>
      <c r="AF380" t="n">
        <v>9</v>
      </c>
      <c r="AG380" t="n">
        <v>9</v>
      </c>
      <c r="AH380" t="n">
        <v>3</v>
      </c>
      <c r="AI380" t="n">
        <v>3</v>
      </c>
      <c r="AJ380" t="n">
        <v>11</v>
      </c>
      <c r="AK380" t="n">
        <v>11</v>
      </c>
      <c r="AL380" t="n">
        <v>3</v>
      </c>
      <c r="AM380" t="n">
        <v>3</v>
      </c>
      <c r="AN380" t="n">
        <v>2</v>
      </c>
      <c r="AO380" t="n">
        <v>2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HYPERLINK("https://creighton-primo.hosted.exlibrisgroup.com/primo-explore/search?tab=default_tab&amp;search_scope=EVERYTHING&amp;vid=01CRU&amp;lang=en_US&amp;offset=0&amp;query=any,contains,991002898459702656","Catalog Record")</f>
        <v/>
      </c>
      <c r="AT380">
        <f>HYPERLINK("http://www.worldcat.org/oclc/38206893","WorldCat Record")</f>
        <v/>
      </c>
      <c r="AU380" t="inlineStr">
        <is>
          <t>572234:eng</t>
        </is>
      </c>
      <c r="AV380" t="inlineStr">
        <is>
          <t>38206893</t>
        </is>
      </c>
      <c r="AW380" t="inlineStr">
        <is>
          <t>991002898459702656</t>
        </is>
      </c>
      <c r="AX380" t="inlineStr">
        <is>
          <t>991002898459702656</t>
        </is>
      </c>
      <c r="AY380" t="inlineStr">
        <is>
          <t>2272587850002656</t>
        </is>
      </c>
      <c r="AZ380" t="inlineStr">
        <is>
          <t>BOOK</t>
        </is>
      </c>
      <c r="BB380" t="inlineStr">
        <is>
          <t>9780684827360</t>
        </is>
      </c>
      <c r="BC380" t="inlineStr">
        <is>
          <t>32285003407920</t>
        </is>
      </c>
      <c r="BD380" t="inlineStr">
        <is>
          <t>893239642</t>
        </is>
      </c>
    </row>
    <row r="381">
      <c r="A381" t="inlineStr">
        <is>
          <t>No</t>
        </is>
      </c>
      <c r="B381" t="inlineStr">
        <is>
          <t>HV5760 .K58 1996</t>
        </is>
      </c>
      <c r="C381" t="inlineStr">
        <is>
          <t>0                      HV 5760000K  58          1996</t>
        </is>
      </c>
      <c r="D381" t="inlineStr">
        <is>
          <t>Ashes to ashes : America's hundred-year cigarette war, the public health, and the unabashed triumph of Philip Morris / Richard Kluger.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Kluger, Richard.</t>
        </is>
      </c>
      <c r="L381" t="inlineStr">
        <is>
          <t>New York : Alfred A. Knopf : Distributed by Random House, 1996.</t>
        </is>
      </c>
      <c r="M381" t="inlineStr">
        <is>
          <t>1996</t>
        </is>
      </c>
      <c r="N381" t="inlineStr">
        <is>
          <t>1st ed.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HV </t>
        </is>
      </c>
      <c r="S381" t="n">
        <v>19</v>
      </c>
      <c r="T381" t="n">
        <v>19</v>
      </c>
      <c r="U381" t="inlineStr">
        <is>
          <t>2009-10-21</t>
        </is>
      </c>
      <c r="V381" t="inlineStr">
        <is>
          <t>2009-10-21</t>
        </is>
      </c>
      <c r="W381" t="inlineStr">
        <is>
          <t>1996-06-25</t>
        </is>
      </c>
      <c r="X381" t="inlineStr">
        <is>
          <t>1996-06-25</t>
        </is>
      </c>
      <c r="Y381" t="n">
        <v>2115</v>
      </c>
      <c r="Z381" t="n">
        <v>2007</v>
      </c>
      <c r="AA381" t="n">
        <v>2306</v>
      </c>
      <c r="AB381" t="n">
        <v>19</v>
      </c>
      <c r="AC381" t="n">
        <v>20</v>
      </c>
      <c r="AD381" t="n">
        <v>67</v>
      </c>
      <c r="AE381" t="n">
        <v>74</v>
      </c>
      <c r="AF381" t="n">
        <v>23</v>
      </c>
      <c r="AG381" t="n">
        <v>26</v>
      </c>
      <c r="AH381" t="n">
        <v>10</v>
      </c>
      <c r="AI381" t="n">
        <v>11</v>
      </c>
      <c r="AJ381" t="n">
        <v>22</v>
      </c>
      <c r="AK381" t="n">
        <v>24</v>
      </c>
      <c r="AL381" t="n">
        <v>15</v>
      </c>
      <c r="AM381" t="n">
        <v>15</v>
      </c>
      <c r="AN381" t="n">
        <v>9</v>
      </c>
      <c r="AO381" t="n">
        <v>11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HYPERLINK("http://catalog.hathitrust.org/Record/003055113","HathiTrust Record")</f>
        <v/>
      </c>
      <c r="AS381">
        <f>HYPERLINK("https://creighton-primo.hosted.exlibrisgroup.com/primo-explore/search?tab=default_tab&amp;search_scope=EVERYTHING&amp;vid=01CRU&amp;lang=en_US&amp;offset=0&amp;query=any,contains,991002554459702656","Catalog Record")</f>
        <v/>
      </c>
      <c r="AT381">
        <f>HYPERLINK("http://www.worldcat.org/oclc/33207527","WorldCat Record")</f>
        <v/>
      </c>
      <c r="AU381" t="inlineStr">
        <is>
          <t>533577:eng</t>
        </is>
      </c>
      <c r="AV381" t="inlineStr">
        <is>
          <t>33207527</t>
        </is>
      </c>
      <c r="AW381" t="inlineStr">
        <is>
          <t>991002554459702656</t>
        </is>
      </c>
      <c r="AX381" t="inlineStr">
        <is>
          <t>991002554459702656</t>
        </is>
      </c>
      <c r="AY381" t="inlineStr">
        <is>
          <t>2263891080002656</t>
        </is>
      </c>
      <c r="AZ381" t="inlineStr">
        <is>
          <t>BOOK</t>
        </is>
      </c>
      <c r="BB381" t="inlineStr">
        <is>
          <t>9780394570761</t>
        </is>
      </c>
      <c r="BC381" t="inlineStr">
        <is>
          <t>32285002173028</t>
        </is>
      </c>
      <c r="BD381" t="inlineStr">
        <is>
          <t>893903960</t>
        </is>
      </c>
    </row>
    <row r="382">
      <c r="A382" t="inlineStr">
        <is>
          <t>No</t>
        </is>
      </c>
      <c r="B382" t="inlineStr">
        <is>
          <t>HV5760 .K68 1996</t>
        </is>
      </c>
      <c r="C382" t="inlineStr">
        <is>
          <t>0                      HV 5760000K  68          1996</t>
        </is>
      </c>
      <c r="D382" t="inlineStr">
        <is>
          <t>Smoking : the story behind the haze / Edward L. Koven.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Yes</t>
        </is>
      </c>
      <c r="J382" t="inlineStr">
        <is>
          <t>0</t>
        </is>
      </c>
      <c r="K382" t="inlineStr">
        <is>
          <t>Koven, Edward L.</t>
        </is>
      </c>
      <c r="L382" t="inlineStr">
        <is>
          <t>New York : Nova Science Publishers, c1996.</t>
        </is>
      </c>
      <c r="M382" t="inlineStr">
        <is>
          <t>1996</t>
        </is>
      </c>
      <c r="O382" t="inlineStr">
        <is>
          <t>eng</t>
        </is>
      </c>
      <c r="P382" t="inlineStr">
        <is>
          <t>nyu</t>
        </is>
      </c>
      <c r="R382" t="inlineStr">
        <is>
          <t xml:space="preserve">HV </t>
        </is>
      </c>
      <c r="S382" t="n">
        <v>27</v>
      </c>
      <c r="T382" t="n">
        <v>27</v>
      </c>
      <c r="U382" t="inlineStr">
        <is>
          <t>2008-04-24</t>
        </is>
      </c>
      <c r="V382" t="inlineStr">
        <is>
          <t>2008-04-24</t>
        </is>
      </c>
      <c r="W382" t="inlineStr">
        <is>
          <t>1997-04-07</t>
        </is>
      </c>
      <c r="X382" t="inlineStr">
        <is>
          <t>1997-04-07</t>
        </is>
      </c>
      <c r="Y382" t="n">
        <v>378</v>
      </c>
      <c r="Z382" t="n">
        <v>349</v>
      </c>
      <c r="AA382" t="n">
        <v>407</v>
      </c>
      <c r="AB382" t="n">
        <v>3</v>
      </c>
      <c r="AC382" t="n">
        <v>3</v>
      </c>
      <c r="AD382" t="n">
        <v>15</v>
      </c>
      <c r="AE382" t="n">
        <v>19</v>
      </c>
      <c r="AF382" t="n">
        <v>5</v>
      </c>
      <c r="AG382" t="n">
        <v>7</v>
      </c>
      <c r="AH382" t="n">
        <v>4</v>
      </c>
      <c r="AI382" t="n">
        <v>4</v>
      </c>
      <c r="AJ382" t="n">
        <v>9</v>
      </c>
      <c r="AK382" t="n">
        <v>10</v>
      </c>
      <c r="AL382" t="n">
        <v>2</v>
      </c>
      <c r="AM382" t="n">
        <v>2</v>
      </c>
      <c r="AN382" t="n">
        <v>0</v>
      </c>
      <c r="AO382" t="n">
        <v>1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HYPERLINK("https://creighton-primo.hosted.exlibrisgroup.com/primo-explore/search?tab=default_tab&amp;search_scope=EVERYTHING&amp;vid=01CRU&amp;lang=en_US&amp;offset=0&amp;query=any,contains,991002790849702656","Catalog Record")</f>
        <v/>
      </c>
      <c r="AT382">
        <f>HYPERLINK("http://www.worldcat.org/oclc/36651080","WorldCat Record")</f>
        <v/>
      </c>
      <c r="AU382" t="inlineStr">
        <is>
          <t>23569597:eng</t>
        </is>
      </c>
      <c r="AV382" t="inlineStr">
        <is>
          <t>36651080</t>
        </is>
      </c>
      <c r="AW382" t="inlineStr">
        <is>
          <t>991002790849702656</t>
        </is>
      </c>
      <c r="AX382" t="inlineStr">
        <is>
          <t>991002790849702656</t>
        </is>
      </c>
      <c r="AY382" t="inlineStr">
        <is>
          <t>2265259480002656</t>
        </is>
      </c>
      <c r="AZ382" t="inlineStr">
        <is>
          <t>BOOK</t>
        </is>
      </c>
      <c r="BB382" t="inlineStr">
        <is>
          <t>9781560724018</t>
        </is>
      </c>
      <c r="BC382" t="inlineStr">
        <is>
          <t>32285002479714</t>
        </is>
      </c>
      <c r="BD382" t="inlineStr">
        <is>
          <t>893710681</t>
        </is>
      </c>
    </row>
    <row r="383">
      <c r="A383" t="inlineStr">
        <is>
          <t>No</t>
        </is>
      </c>
      <c r="B383" t="inlineStr">
        <is>
          <t>HV5763 .F37 1991</t>
        </is>
      </c>
      <c r="C383" t="inlineStr">
        <is>
          <t>0                      HV 5763000F  37          1991</t>
        </is>
      </c>
      <c r="D383" t="inlineStr">
        <is>
          <t>The last puff : ex-smokers share the secrets of their success / John W. Farquhar, Gene A. Spiller.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Farquhar, John W., 1927-2018.</t>
        </is>
      </c>
      <c r="L383" t="inlineStr">
        <is>
          <t>New York : W.W. Norton, 1991, c1990.</t>
        </is>
      </c>
      <c r="M383" t="inlineStr">
        <is>
          <t>1991</t>
        </is>
      </c>
      <c r="O383" t="inlineStr">
        <is>
          <t>eng</t>
        </is>
      </c>
      <c r="P383" t="inlineStr">
        <is>
          <t>nyu</t>
        </is>
      </c>
      <c r="R383" t="inlineStr">
        <is>
          <t xml:space="preserve">HV </t>
        </is>
      </c>
      <c r="S383" t="n">
        <v>5</v>
      </c>
      <c r="T383" t="n">
        <v>5</v>
      </c>
      <c r="U383" t="inlineStr">
        <is>
          <t>2008-04-20</t>
        </is>
      </c>
      <c r="V383" t="inlineStr">
        <is>
          <t>2008-04-20</t>
        </is>
      </c>
      <c r="W383" t="inlineStr">
        <is>
          <t>2002-11-19</t>
        </is>
      </c>
      <c r="X383" t="inlineStr">
        <is>
          <t>2002-11-19</t>
        </is>
      </c>
      <c r="Y383" t="n">
        <v>38</v>
      </c>
      <c r="Z383" t="n">
        <v>37</v>
      </c>
      <c r="AA383" t="n">
        <v>356</v>
      </c>
      <c r="AB383" t="n">
        <v>1</v>
      </c>
      <c r="AC383" t="n">
        <v>1</v>
      </c>
      <c r="AD383" t="n">
        <v>1</v>
      </c>
      <c r="AE383" t="n">
        <v>2</v>
      </c>
      <c r="AF383" t="n">
        <v>0</v>
      </c>
      <c r="AG383" t="n">
        <v>0</v>
      </c>
      <c r="AH383" t="n">
        <v>0</v>
      </c>
      <c r="AI383" t="n">
        <v>1</v>
      </c>
      <c r="AJ383" t="n">
        <v>1</v>
      </c>
      <c r="AK383" t="n">
        <v>1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HYPERLINK("https://creighton-primo.hosted.exlibrisgroup.com/primo-explore/search?tab=default_tab&amp;search_scope=EVERYTHING&amp;vid=01CRU&amp;lang=en_US&amp;offset=0&amp;query=any,contains,991003933469702656","Catalog Record")</f>
        <v/>
      </c>
      <c r="AT383">
        <f>HYPERLINK("http://www.worldcat.org/oclc/27869302","WorldCat Record")</f>
        <v/>
      </c>
      <c r="AU383" t="inlineStr">
        <is>
          <t>943670611:eng</t>
        </is>
      </c>
      <c r="AV383" t="inlineStr">
        <is>
          <t>27869302</t>
        </is>
      </c>
      <c r="AW383" t="inlineStr">
        <is>
          <t>991003933469702656</t>
        </is>
      </c>
      <c r="AX383" t="inlineStr">
        <is>
          <t>991003933469702656</t>
        </is>
      </c>
      <c r="AY383" t="inlineStr">
        <is>
          <t>2269984850002656</t>
        </is>
      </c>
      <c r="AZ383" t="inlineStr">
        <is>
          <t>BOOK</t>
        </is>
      </c>
      <c r="BB383" t="inlineStr">
        <is>
          <t>9780393308037</t>
        </is>
      </c>
      <c r="BC383" t="inlineStr">
        <is>
          <t>32285004664503</t>
        </is>
      </c>
      <c r="BD383" t="inlineStr">
        <is>
          <t>893711960</t>
        </is>
      </c>
    </row>
    <row r="384">
      <c r="A384" t="inlineStr">
        <is>
          <t>No</t>
        </is>
      </c>
      <c r="B384" t="inlineStr">
        <is>
          <t>HV577 .D8</t>
        </is>
      </c>
      <c r="C384" t="inlineStr">
        <is>
          <t>0                      HV 0577000D  8</t>
        </is>
      </c>
      <c r="D384" t="inlineStr">
        <is>
          <t>The American Red Cross, a history.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Dulles, Foster Rhea, 1900-1970.</t>
        </is>
      </c>
      <c r="L384" t="inlineStr">
        <is>
          <t>New York, Harper [1950]</t>
        </is>
      </c>
      <c r="M384" t="inlineStr">
        <is>
          <t>1950</t>
        </is>
      </c>
      <c r="N384" t="inlineStr">
        <is>
          <t>[1st ed.]</t>
        </is>
      </c>
      <c r="O384" t="inlineStr">
        <is>
          <t>eng</t>
        </is>
      </c>
      <c r="P384" t="inlineStr">
        <is>
          <t>___</t>
        </is>
      </c>
      <c r="R384" t="inlineStr">
        <is>
          <t xml:space="preserve">HV </t>
        </is>
      </c>
      <c r="S384" t="n">
        <v>10</v>
      </c>
      <c r="T384" t="n">
        <v>10</v>
      </c>
      <c r="U384" t="inlineStr">
        <is>
          <t>2008-04-23</t>
        </is>
      </c>
      <c r="V384" t="inlineStr">
        <is>
          <t>2008-04-23</t>
        </is>
      </c>
      <c r="W384" t="inlineStr">
        <is>
          <t>1993-03-25</t>
        </is>
      </c>
      <c r="X384" t="inlineStr">
        <is>
          <t>1993-03-25</t>
        </is>
      </c>
      <c r="Y384" t="n">
        <v>496</v>
      </c>
      <c r="Z384" t="n">
        <v>453</v>
      </c>
      <c r="AA384" t="n">
        <v>608</v>
      </c>
      <c r="AB384" t="n">
        <v>6</v>
      </c>
      <c r="AC384" t="n">
        <v>7</v>
      </c>
      <c r="AD384" t="n">
        <v>21</v>
      </c>
      <c r="AE384" t="n">
        <v>26</v>
      </c>
      <c r="AF384" t="n">
        <v>5</v>
      </c>
      <c r="AG384" t="n">
        <v>7</v>
      </c>
      <c r="AH384" t="n">
        <v>5</v>
      </c>
      <c r="AI384" t="n">
        <v>6</v>
      </c>
      <c r="AJ384" t="n">
        <v>10</v>
      </c>
      <c r="AK384" t="n">
        <v>12</v>
      </c>
      <c r="AL384" t="n">
        <v>5</v>
      </c>
      <c r="AM384" t="n">
        <v>6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HYPERLINK("http://catalog.hathitrust.org/Record/001132213","HathiTrust Record")</f>
        <v/>
      </c>
      <c r="AS384">
        <f>HYPERLINK("https://creighton-primo.hosted.exlibrisgroup.com/primo-explore/search?tab=default_tab&amp;search_scope=EVERYTHING&amp;vid=01CRU&amp;lang=en_US&amp;offset=0&amp;query=any,contains,991003685149702656","Catalog Record")</f>
        <v/>
      </c>
      <c r="AT384">
        <f>HYPERLINK("http://www.worldcat.org/oclc/1313220","WorldCat Record")</f>
        <v/>
      </c>
      <c r="AU384" t="inlineStr">
        <is>
          <t>500286:eng</t>
        </is>
      </c>
      <c r="AV384" t="inlineStr">
        <is>
          <t>1313220</t>
        </is>
      </c>
      <c r="AW384" t="inlineStr">
        <is>
          <t>991003685149702656</t>
        </is>
      </c>
      <c r="AX384" t="inlineStr">
        <is>
          <t>991003685149702656</t>
        </is>
      </c>
      <c r="AY384" t="inlineStr">
        <is>
          <t>2257535110002656</t>
        </is>
      </c>
      <c r="AZ384" t="inlineStr">
        <is>
          <t>BOOK</t>
        </is>
      </c>
      <c r="BC384" t="inlineStr">
        <is>
          <t>32285001591311</t>
        </is>
      </c>
      <c r="BD384" t="inlineStr">
        <is>
          <t>893875043</t>
        </is>
      </c>
    </row>
    <row r="385">
      <c r="A385" t="inlineStr">
        <is>
          <t>No</t>
        </is>
      </c>
      <c r="B385" t="inlineStr">
        <is>
          <t>HV577 .H8</t>
        </is>
      </c>
      <c r="C385" t="inlineStr">
        <is>
          <t>0                      HV 0577000H  8</t>
        </is>
      </c>
      <c r="D385" t="inlineStr">
        <is>
          <t>The compact history of the American Red Cross / illus. by Gil Walker.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Hurd, Charles, 1903-1968.</t>
        </is>
      </c>
      <c r="L385" t="inlineStr">
        <is>
          <t>New York : Hawthorn Books, [1959]</t>
        </is>
      </c>
      <c r="M385" t="inlineStr">
        <is>
          <t>1959</t>
        </is>
      </c>
      <c r="N385" t="inlineStr">
        <is>
          <t>[1st ed.]</t>
        </is>
      </c>
      <c r="O385" t="inlineStr">
        <is>
          <t>eng</t>
        </is>
      </c>
      <c r="P385" t="inlineStr">
        <is>
          <t>nyu</t>
        </is>
      </c>
      <c r="R385" t="inlineStr">
        <is>
          <t xml:space="preserve">HV </t>
        </is>
      </c>
      <c r="S385" t="n">
        <v>12</v>
      </c>
      <c r="T385" t="n">
        <v>12</v>
      </c>
      <c r="U385" t="inlineStr">
        <is>
          <t>2008-04-23</t>
        </is>
      </c>
      <c r="V385" t="inlineStr">
        <is>
          <t>2008-04-23</t>
        </is>
      </c>
      <c r="W385" t="inlineStr">
        <is>
          <t>1993-03-25</t>
        </is>
      </c>
      <c r="X385" t="inlineStr">
        <is>
          <t>1993-03-25</t>
        </is>
      </c>
      <c r="Y385" t="n">
        <v>580</v>
      </c>
      <c r="Z385" t="n">
        <v>557</v>
      </c>
      <c r="AA385" t="n">
        <v>558</v>
      </c>
      <c r="AB385" t="n">
        <v>3</v>
      </c>
      <c r="AC385" t="n">
        <v>3</v>
      </c>
      <c r="AD385" t="n">
        <v>13</v>
      </c>
      <c r="AE385" t="n">
        <v>13</v>
      </c>
      <c r="AF385" t="n">
        <v>6</v>
      </c>
      <c r="AG385" t="n">
        <v>6</v>
      </c>
      <c r="AH385" t="n">
        <v>2</v>
      </c>
      <c r="AI385" t="n">
        <v>2</v>
      </c>
      <c r="AJ385" t="n">
        <v>7</v>
      </c>
      <c r="AK385" t="n">
        <v>7</v>
      </c>
      <c r="AL385" t="n">
        <v>1</v>
      </c>
      <c r="AM385" t="n">
        <v>1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R385">
        <f>HYPERLINK("http://catalog.hathitrust.org/Record/001132214","HathiTrust Record")</f>
        <v/>
      </c>
      <c r="AS385">
        <f>HYPERLINK("https://creighton-primo.hosted.exlibrisgroup.com/primo-explore/search?tab=default_tab&amp;search_scope=EVERYTHING&amp;vid=01CRU&amp;lang=en_US&amp;offset=0&amp;query=any,contains,991002157249702656","Catalog Record")</f>
        <v/>
      </c>
      <c r="AT385">
        <f>HYPERLINK("http://www.worldcat.org/oclc/273031","WorldCat Record")</f>
        <v/>
      </c>
      <c r="AU385" t="inlineStr">
        <is>
          <t>1404349:eng</t>
        </is>
      </c>
      <c r="AV385" t="inlineStr">
        <is>
          <t>273031</t>
        </is>
      </c>
      <c r="AW385" t="inlineStr">
        <is>
          <t>991002157249702656</t>
        </is>
      </c>
      <c r="AX385" t="inlineStr">
        <is>
          <t>991002157249702656</t>
        </is>
      </c>
      <c r="AY385" t="inlineStr">
        <is>
          <t>2262034910002656</t>
        </is>
      </c>
      <c r="AZ385" t="inlineStr">
        <is>
          <t>BOOK</t>
        </is>
      </c>
      <c r="BC385" t="inlineStr">
        <is>
          <t>32285001591303</t>
        </is>
      </c>
      <c r="BD385" t="inlineStr">
        <is>
          <t>893866871</t>
        </is>
      </c>
    </row>
    <row r="386">
      <c r="A386" t="inlineStr">
        <is>
          <t>No</t>
        </is>
      </c>
      <c r="B386" t="inlineStr">
        <is>
          <t>HV5801 .B3913</t>
        </is>
      </c>
      <c r="C386" t="inlineStr">
        <is>
          <t>0                      HV 5801000B  3913</t>
        </is>
      </c>
      <c r="D386" t="inlineStr">
        <is>
          <t>Addiction : an artificially induced drive / foreword by S. S. B. Gilder.</t>
        </is>
      </c>
      <c r="F386" t="inlineStr">
        <is>
          <t>No</t>
        </is>
      </c>
      <c r="G386" t="inlineStr">
        <is>
          <t>1</t>
        </is>
      </c>
      <c r="H386" t="inlineStr">
        <is>
          <t>Yes</t>
        </is>
      </c>
      <c r="I386" t="inlineStr">
        <is>
          <t>No</t>
        </is>
      </c>
      <c r="J386" t="inlineStr">
        <is>
          <t>0</t>
        </is>
      </c>
      <c r="K386" t="inlineStr">
        <is>
          <t>Bejerot, Nils.</t>
        </is>
      </c>
      <c r="L386" t="inlineStr">
        <is>
          <t>Springfield, Ill. : Thomas, [1972]</t>
        </is>
      </c>
      <c r="M386" t="inlineStr">
        <is>
          <t>1972</t>
        </is>
      </c>
      <c r="O386" t="inlineStr">
        <is>
          <t>eng</t>
        </is>
      </c>
      <c r="P386" t="inlineStr">
        <is>
          <t>ilu</t>
        </is>
      </c>
      <c r="R386" t="inlineStr">
        <is>
          <t xml:space="preserve">HV </t>
        </is>
      </c>
      <c r="S386" t="n">
        <v>13</v>
      </c>
      <c r="T386" t="n">
        <v>13</v>
      </c>
      <c r="U386" t="inlineStr">
        <is>
          <t>2005-04-17</t>
        </is>
      </c>
      <c r="V386" t="inlineStr">
        <is>
          <t>2005-04-17</t>
        </is>
      </c>
      <c r="W386" t="inlineStr">
        <is>
          <t>1995-04-26</t>
        </is>
      </c>
      <c r="X386" t="inlineStr">
        <is>
          <t>1997-11-17</t>
        </is>
      </c>
      <c r="Y386" t="n">
        <v>465</v>
      </c>
      <c r="Z386" t="n">
        <v>425</v>
      </c>
      <c r="AA386" t="n">
        <v>433</v>
      </c>
      <c r="AB386" t="n">
        <v>7</v>
      </c>
      <c r="AC386" t="n">
        <v>7</v>
      </c>
      <c r="AD386" t="n">
        <v>20</v>
      </c>
      <c r="AE386" t="n">
        <v>20</v>
      </c>
      <c r="AF386" t="n">
        <v>6</v>
      </c>
      <c r="AG386" t="n">
        <v>6</v>
      </c>
      <c r="AH386" t="n">
        <v>4</v>
      </c>
      <c r="AI386" t="n">
        <v>4</v>
      </c>
      <c r="AJ386" t="n">
        <v>8</v>
      </c>
      <c r="AK386" t="n">
        <v>8</v>
      </c>
      <c r="AL386" t="n">
        <v>5</v>
      </c>
      <c r="AM386" t="n">
        <v>5</v>
      </c>
      <c r="AN386" t="n">
        <v>1</v>
      </c>
      <c r="AO386" t="n">
        <v>1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HYPERLINK("http://catalog.hathitrust.org/Record/001133668","HathiTrust Record")</f>
        <v/>
      </c>
      <c r="AS386">
        <f>HYPERLINK("https://creighton-primo.hosted.exlibrisgroup.com/primo-explore/search?tab=default_tab&amp;search_scope=EVERYTHING&amp;vid=01CRU&amp;lang=en_US&amp;offset=0&amp;query=any,contains,991001656759702656","Catalog Record")</f>
        <v/>
      </c>
      <c r="AT386">
        <f>HYPERLINK("http://www.worldcat.org/oclc/578034","WorldCat Record")</f>
        <v/>
      </c>
      <c r="AU386" t="inlineStr">
        <is>
          <t>232522:eng</t>
        </is>
      </c>
      <c r="AV386" t="inlineStr">
        <is>
          <t>578034</t>
        </is>
      </c>
      <c r="AW386" t="inlineStr">
        <is>
          <t>991001656759702656</t>
        </is>
      </c>
      <c r="AX386" t="inlineStr">
        <is>
          <t>991001656759702656</t>
        </is>
      </c>
      <c r="AY386" t="inlineStr">
        <is>
          <t>2256439990002656</t>
        </is>
      </c>
      <c r="AZ386" t="inlineStr">
        <is>
          <t>BOOK</t>
        </is>
      </c>
      <c r="BB386" t="inlineStr">
        <is>
          <t>9780398025274</t>
        </is>
      </c>
      <c r="BC386" t="inlineStr">
        <is>
          <t>32285002029410</t>
        </is>
      </c>
      <c r="BD386" t="inlineStr">
        <is>
          <t>893885457</t>
        </is>
      </c>
    </row>
    <row r="387">
      <c r="A387" t="inlineStr">
        <is>
          <t>No</t>
        </is>
      </c>
      <c r="B387" t="inlineStr">
        <is>
          <t>HV5801 .C57</t>
        </is>
      </c>
      <c r="C387" t="inlineStr">
        <is>
          <t>0                      HV 5801000C  57</t>
        </is>
      </c>
      <c r="D387" t="inlineStr">
        <is>
          <t>The drug dilemma / Sidney Cohen.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Cohen, Sidney, 1910-</t>
        </is>
      </c>
      <c r="L387" t="inlineStr">
        <is>
          <t>New York : McGraw-Hill, c1969.</t>
        </is>
      </c>
      <c r="M387" t="inlineStr">
        <is>
          <t>1969</t>
        </is>
      </c>
      <c r="O387" t="inlineStr">
        <is>
          <t>eng</t>
        </is>
      </c>
      <c r="P387" t="inlineStr">
        <is>
          <t>nyu</t>
        </is>
      </c>
      <c r="Q387" t="inlineStr">
        <is>
          <t>McGraw-Hill series in health education</t>
        </is>
      </c>
      <c r="R387" t="inlineStr">
        <is>
          <t xml:space="preserve">HV </t>
        </is>
      </c>
      <c r="S387" t="n">
        <v>9</v>
      </c>
      <c r="T387" t="n">
        <v>9</v>
      </c>
      <c r="U387" t="inlineStr">
        <is>
          <t>1999-02-28</t>
        </is>
      </c>
      <c r="V387" t="inlineStr">
        <is>
          <t>1999-02-28</t>
        </is>
      </c>
      <c r="W387" t="inlineStr">
        <is>
          <t>1992-04-29</t>
        </is>
      </c>
      <c r="X387" t="inlineStr">
        <is>
          <t>1992-04-29</t>
        </is>
      </c>
      <c r="Y387" t="n">
        <v>745</v>
      </c>
      <c r="Z387" t="n">
        <v>703</v>
      </c>
      <c r="AA387" t="n">
        <v>1050</v>
      </c>
      <c r="AB387" t="n">
        <v>6</v>
      </c>
      <c r="AC387" t="n">
        <v>11</v>
      </c>
      <c r="AD387" t="n">
        <v>29</v>
      </c>
      <c r="AE387" t="n">
        <v>39</v>
      </c>
      <c r="AF387" t="n">
        <v>11</v>
      </c>
      <c r="AG387" t="n">
        <v>13</v>
      </c>
      <c r="AH387" t="n">
        <v>6</v>
      </c>
      <c r="AI387" t="n">
        <v>9</v>
      </c>
      <c r="AJ387" t="n">
        <v>12</v>
      </c>
      <c r="AK387" t="n">
        <v>13</v>
      </c>
      <c r="AL387" t="n">
        <v>5</v>
      </c>
      <c r="AM387" t="n">
        <v>9</v>
      </c>
      <c r="AN387" t="n">
        <v>2</v>
      </c>
      <c r="AO387" t="n">
        <v>2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HYPERLINK("http://catalog.hathitrust.org/Record/001133674","HathiTrust Record")</f>
        <v/>
      </c>
      <c r="AS387">
        <f>HYPERLINK("https://creighton-primo.hosted.exlibrisgroup.com/primo-explore/search?tab=default_tab&amp;search_scope=EVERYTHING&amp;vid=01CRU&amp;lang=en_US&amp;offset=0&amp;query=any,contains,991005161199702656","Catalog Record")</f>
        <v/>
      </c>
      <c r="AT387">
        <f>HYPERLINK("http://www.worldcat.org/oclc/264416","WorldCat Record")</f>
        <v/>
      </c>
      <c r="AU387" t="inlineStr">
        <is>
          <t>405022:eng</t>
        </is>
      </c>
      <c r="AV387" t="inlineStr">
        <is>
          <t>264416</t>
        </is>
      </c>
      <c r="AW387" t="inlineStr">
        <is>
          <t>991005161199702656</t>
        </is>
      </c>
      <c r="AX387" t="inlineStr">
        <is>
          <t>991005161199702656</t>
        </is>
      </c>
      <c r="AY387" t="inlineStr">
        <is>
          <t>2265332920002656</t>
        </is>
      </c>
      <c r="AZ387" t="inlineStr">
        <is>
          <t>BOOK</t>
        </is>
      </c>
      <c r="BC387" t="inlineStr">
        <is>
          <t>32285001103976</t>
        </is>
      </c>
      <c r="BD387" t="inlineStr">
        <is>
          <t>893344737</t>
        </is>
      </c>
    </row>
    <row r="388">
      <c r="A388" t="inlineStr">
        <is>
          <t>No</t>
        </is>
      </c>
      <c r="B388" t="inlineStr">
        <is>
          <t>HV5801 .C66 1998</t>
        </is>
      </c>
      <c r="C388" t="inlineStr">
        <is>
          <t>0                      HV 5801000C  66          1998</t>
        </is>
      </c>
      <c r="D388" t="inlineStr">
        <is>
          <t>The control of drugs and drug users : reason or reaction? / edited by Ross Coomber.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Amsterdam : Harwood Academic, 1998.</t>
        </is>
      </c>
      <c r="M388" t="inlineStr">
        <is>
          <t>1998</t>
        </is>
      </c>
      <c r="O388" t="inlineStr">
        <is>
          <t>eng</t>
        </is>
      </c>
      <c r="P388" t="inlineStr">
        <is>
          <t xml:space="preserve">ne </t>
        </is>
      </c>
      <c r="R388" t="inlineStr">
        <is>
          <t xml:space="preserve">HV </t>
        </is>
      </c>
      <c r="S388" t="n">
        <v>16</v>
      </c>
      <c r="T388" t="n">
        <v>16</v>
      </c>
      <c r="U388" t="inlineStr">
        <is>
          <t>2009-03-23</t>
        </is>
      </c>
      <c r="V388" t="inlineStr">
        <is>
          <t>2009-03-23</t>
        </is>
      </c>
      <c r="W388" t="inlineStr">
        <is>
          <t>1999-04-26</t>
        </is>
      </c>
      <c r="X388" t="inlineStr">
        <is>
          <t>1999-04-26</t>
        </is>
      </c>
      <c r="Y388" t="n">
        <v>372</v>
      </c>
      <c r="Z388" t="n">
        <v>299</v>
      </c>
      <c r="AA388" t="n">
        <v>309</v>
      </c>
      <c r="AB388" t="n">
        <v>4</v>
      </c>
      <c r="AC388" t="n">
        <v>4</v>
      </c>
      <c r="AD388" t="n">
        <v>16</v>
      </c>
      <c r="AE388" t="n">
        <v>16</v>
      </c>
      <c r="AF388" t="n">
        <v>4</v>
      </c>
      <c r="AG388" t="n">
        <v>4</v>
      </c>
      <c r="AH388" t="n">
        <v>5</v>
      </c>
      <c r="AI388" t="n">
        <v>5</v>
      </c>
      <c r="AJ388" t="n">
        <v>8</v>
      </c>
      <c r="AK388" t="n">
        <v>8</v>
      </c>
      <c r="AL388" t="n">
        <v>3</v>
      </c>
      <c r="AM388" t="n">
        <v>3</v>
      </c>
      <c r="AN388" t="n">
        <v>0</v>
      </c>
      <c r="AO388" t="n">
        <v>0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HYPERLINK("https://creighton-primo.hosted.exlibrisgroup.com/primo-explore/search?tab=default_tab&amp;search_scope=EVERYTHING&amp;vid=01CRU&amp;lang=en_US&amp;offset=0&amp;query=any,contains,991002919169702656","Catalog Record")</f>
        <v/>
      </c>
      <c r="AT388">
        <f>HYPERLINK("http://www.worldcat.org/oclc/38724367","WorldCat Record")</f>
        <v/>
      </c>
      <c r="AU388" t="inlineStr">
        <is>
          <t>56268871:eng</t>
        </is>
      </c>
      <c r="AV388" t="inlineStr">
        <is>
          <t>38724367</t>
        </is>
      </c>
      <c r="AW388" t="inlineStr">
        <is>
          <t>991002919169702656</t>
        </is>
      </c>
      <c r="AX388" t="inlineStr">
        <is>
          <t>991002919169702656</t>
        </is>
      </c>
      <c r="AY388" t="inlineStr">
        <is>
          <t>2258557110002656</t>
        </is>
      </c>
      <c r="AZ388" t="inlineStr">
        <is>
          <t>BOOK</t>
        </is>
      </c>
      <c r="BB388" t="inlineStr">
        <is>
          <t>9789057021886</t>
        </is>
      </c>
      <c r="BC388" t="inlineStr">
        <is>
          <t>32285003555413</t>
        </is>
      </c>
      <c r="BD388" t="inlineStr">
        <is>
          <t>893517927</t>
        </is>
      </c>
    </row>
    <row r="389">
      <c r="A389" t="inlineStr">
        <is>
          <t>No</t>
        </is>
      </c>
      <c r="B389" t="inlineStr">
        <is>
          <t>HV5801 .D59 1981</t>
        </is>
      </c>
      <c r="C389" t="inlineStr">
        <is>
          <t>0                      HV 5801000D  59          1981</t>
        </is>
      </c>
      <c r="D389" t="inlineStr">
        <is>
          <t>Drug abuse in the modern world : a perspective for the eighties : an international symposium held at the College of Physicians and Surgeons of Columbia University / organized by Gabriel G. Nahas, Henry Brill, and the International Medical Council on Drug Use ; sponsored by National Federation of Parents for a Drug Youth ... [et al.] ; edited by Gabriel G. Nahas, Henry Clay Frick II.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New York : Pergamon Press, c1981.</t>
        </is>
      </c>
      <c r="M389" t="inlineStr">
        <is>
          <t>1981</t>
        </is>
      </c>
      <c r="O389" t="inlineStr">
        <is>
          <t>eng</t>
        </is>
      </c>
      <c r="P389" t="inlineStr">
        <is>
          <t>nyu</t>
        </is>
      </c>
      <c r="R389" t="inlineStr">
        <is>
          <t xml:space="preserve">HV </t>
        </is>
      </c>
      <c r="S389" t="n">
        <v>11</v>
      </c>
      <c r="T389" t="n">
        <v>11</v>
      </c>
      <c r="U389" t="inlineStr">
        <is>
          <t>1998-02-01</t>
        </is>
      </c>
      <c r="V389" t="inlineStr">
        <is>
          <t>1998-02-01</t>
        </is>
      </c>
      <c r="W389" t="inlineStr">
        <is>
          <t>1990-05-03</t>
        </is>
      </c>
      <c r="X389" t="inlineStr">
        <is>
          <t>1990-05-03</t>
        </is>
      </c>
      <c r="Y389" t="n">
        <v>253</v>
      </c>
      <c r="Z389" t="n">
        <v>207</v>
      </c>
      <c r="AA389" t="n">
        <v>256</v>
      </c>
      <c r="AB389" t="n">
        <v>3</v>
      </c>
      <c r="AC389" t="n">
        <v>3</v>
      </c>
      <c r="AD389" t="n">
        <v>8</v>
      </c>
      <c r="AE389" t="n">
        <v>11</v>
      </c>
      <c r="AF389" t="n">
        <v>3</v>
      </c>
      <c r="AG389" t="n">
        <v>5</v>
      </c>
      <c r="AH389" t="n">
        <v>1</v>
      </c>
      <c r="AI389" t="n">
        <v>3</v>
      </c>
      <c r="AJ389" t="n">
        <v>4</v>
      </c>
      <c r="AK389" t="n">
        <v>4</v>
      </c>
      <c r="AL389" t="n">
        <v>2</v>
      </c>
      <c r="AM389" t="n">
        <v>2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HYPERLINK("http://catalog.hathitrust.org/Record/000765056","HathiTrust Record")</f>
        <v/>
      </c>
      <c r="AS389">
        <f>HYPERLINK("https://creighton-primo.hosted.exlibrisgroup.com/primo-explore/search?tab=default_tab&amp;search_scope=EVERYTHING&amp;vid=01CRU&amp;lang=en_US&amp;offset=0&amp;query=any,contains,991005088419702656","Catalog Record")</f>
        <v/>
      </c>
      <c r="AT389">
        <f>HYPERLINK("http://www.worldcat.org/oclc/7203322","WorldCat Record")</f>
        <v/>
      </c>
      <c r="AU389" t="inlineStr">
        <is>
          <t>501104410:eng</t>
        </is>
      </c>
      <c r="AV389" t="inlineStr">
        <is>
          <t>7203322</t>
        </is>
      </c>
      <c r="AW389" t="inlineStr">
        <is>
          <t>991005088419702656</t>
        </is>
      </c>
      <c r="AX389" t="inlineStr">
        <is>
          <t>991005088419702656</t>
        </is>
      </c>
      <c r="AY389" t="inlineStr">
        <is>
          <t>2265495740002656</t>
        </is>
      </c>
      <c r="AZ389" t="inlineStr">
        <is>
          <t>BOOK</t>
        </is>
      </c>
      <c r="BB389" t="inlineStr">
        <is>
          <t>9780080263007</t>
        </is>
      </c>
      <c r="BC389" t="inlineStr">
        <is>
          <t>32285000148097</t>
        </is>
      </c>
      <c r="BD389" t="inlineStr">
        <is>
          <t>893795587</t>
        </is>
      </c>
    </row>
    <row r="390">
      <c r="A390" t="inlineStr">
        <is>
          <t>No</t>
        </is>
      </c>
      <c r="B390" t="inlineStr">
        <is>
          <t>HV5805.H64 A3 2006</t>
        </is>
      </c>
      <c r="C390" t="inlineStr">
        <is>
          <t>0                      HV 5805000H  64                 A  3           2006</t>
        </is>
      </c>
      <c r="D390" t="inlineStr">
        <is>
          <t>In my skin : a memoir / Kate Holden.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Holden, Kate, 1972-</t>
        </is>
      </c>
      <c r="L390" t="inlineStr">
        <is>
          <t>New York : Arcade, 2006, c2005.</t>
        </is>
      </c>
      <c r="M390" t="inlineStr">
        <is>
          <t>2006</t>
        </is>
      </c>
      <c r="N390" t="inlineStr">
        <is>
          <t>1st North American ed.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HV </t>
        </is>
      </c>
      <c r="S390" t="n">
        <v>9</v>
      </c>
      <c r="T390" t="n">
        <v>9</v>
      </c>
      <c r="U390" t="inlineStr">
        <is>
          <t>2008-11-24</t>
        </is>
      </c>
      <c r="V390" t="inlineStr">
        <is>
          <t>2008-11-24</t>
        </is>
      </c>
      <c r="W390" t="inlineStr">
        <is>
          <t>2006-12-05</t>
        </is>
      </c>
      <c r="X390" t="inlineStr">
        <is>
          <t>2006-12-05</t>
        </is>
      </c>
      <c r="Y390" t="n">
        <v>348</v>
      </c>
      <c r="Z390" t="n">
        <v>340</v>
      </c>
      <c r="AA390" t="n">
        <v>520</v>
      </c>
      <c r="AB390" t="n">
        <v>2</v>
      </c>
      <c r="AC390" t="n">
        <v>3</v>
      </c>
      <c r="AD390" t="n">
        <v>4</v>
      </c>
      <c r="AE390" t="n">
        <v>5</v>
      </c>
      <c r="AF390" t="n">
        <v>1</v>
      </c>
      <c r="AG390" t="n">
        <v>1</v>
      </c>
      <c r="AH390" t="n">
        <v>2</v>
      </c>
      <c r="AI390" t="n">
        <v>2</v>
      </c>
      <c r="AJ390" t="n">
        <v>0</v>
      </c>
      <c r="AK390" t="n">
        <v>0</v>
      </c>
      <c r="AL390" t="n">
        <v>1</v>
      </c>
      <c r="AM390" t="n">
        <v>2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HYPERLINK("https://creighton-primo.hosted.exlibrisgroup.com/primo-explore/search?tab=default_tab&amp;search_scope=EVERYTHING&amp;vid=01CRU&amp;lang=en_US&amp;offset=0&amp;query=any,contains,991004957439702656","Catalog Record")</f>
        <v/>
      </c>
      <c r="AT390">
        <f>HYPERLINK("http://www.worldcat.org/oclc/70107002","WorldCat Record")</f>
        <v/>
      </c>
      <c r="AU390" t="inlineStr">
        <is>
          <t>53983211:eng</t>
        </is>
      </c>
      <c r="AV390" t="inlineStr">
        <is>
          <t>70107002</t>
        </is>
      </c>
      <c r="AW390" t="inlineStr">
        <is>
          <t>991004957439702656</t>
        </is>
      </c>
      <c r="AX390" t="inlineStr">
        <is>
          <t>991004957439702656</t>
        </is>
      </c>
      <c r="AY390" t="inlineStr">
        <is>
          <t>2271774650002656</t>
        </is>
      </c>
      <c r="AZ390" t="inlineStr">
        <is>
          <t>BOOK</t>
        </is>
      </c>
      <c r="BB390" t="inlineStr">
        <is>
          <t>9781559708302</t>
        </is>
      </c>
      <c r="BC390" t="inlineStr">
        <is>
          <t>32285005265029</t>
        </is>
      </c>
      <c r="BD390" t="inlineStr">
        <is>
          <t>893688409</t>
        </is>
      </c>
    </row>
    <row r="391">
      <c r="A391" t="inlineStr">
        <is>
          <t>No</t>
        </is>
      </c>
      <c r="B391" t="inlineStr">
        <is>
          <t>HV5808 .G55</t>
        </is>
      </c>
      <c r="C391" t="inlineStr">
        <is>
          <t>0                      HV 5808000G  55</t>
        </is>
      </c>
      <c r="D391" t="inlineStr">
        <is>
          <t>Drug education : content and methods / [by] Daniel A. Girdano [and] Dorothy Dusek Girdano.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Girdano, Daniel A.</t>
        </is>
      </c>
      <c r="L391" t="inlineStr">
        <is>
          <t>Reading, Mass. : Addison-Wesley Pub. Co., [1972]</t>
        </is>
      </c>
      <c r="M391" t="inlineStr">
        <is>
          <t>1972</t>
        </is>
      </c>
      <c r="O391" t="inlineStr">
        <is>
          <t>eng</t>
        </is>
      </c>
      <c r="P391" t="inlineStr">
        <is>
          <t>mau</t>
        </is>
      </c>
      <c r="Q391" t="inlineStr">
        <is>
          <t>Addison-Wesley series in health education</t>
        </is>
      </c>
      <c r="R391" t="inlineStr">
        <is>
          <t xml:space="preserve">HV </t>
        </is>
      </c>
      <c r="S391" t="n">
        <v>18</v>
      </c>
      <c r="T391" t="n">
        <v>18</v>
      </c>
      <c r="U391" t="inlineStr">
        <is>
          <t>2010-04-12</t>
        </is>
      </c>
      <c r="V391" t="inlineStr">
        <is>
          <t>2010-04-12</t>
        </is>
      </c>
      <c r="W391" t="inlineStr">
        <is>
          <t>1992-02-25</t>
        </is>
      </c>
      <c r="X391" t="inlineStr">
        <is>
          <t>1992-02-25</t>
        </is>
      </c>
      <c r="Y391" t="n">
        <v>238</v>
      </c>
      <c r="Z391" t="n">
        <v>192</v>
      </c>
      <c r="AA391" t="n">
        <v>419</v>
      </c>
      <c r="AB391" t="n">
        <v>3</v>
      </c>
      <c r="AC391" t="n">
        <v>6</v>
      </c>
      <c r="AD391" t="n">
        <v>4</v>
      </c>
      <c r="AE391" t="n">
        <v>12</v>
      </c>
      <c r="AF391" t="n">
        <v>2</v>
      </c>
      <c r="AG391" t="n">
        <v>3</v>
      </c>
      <c r="AH391" t="n">
        <v>0</v>
      </c>
      <c r="AI391" t="n">
        <v>3</v>
      </c>
      <c r="AJ391" t="n">
        <v>0</v>
      </c>
      <c r="AK391" t="n">
        <v>4</v>
      </c>
      <c r="AL391" t="n">
        <v>2</v>
      </c>
      <c r="AM391" t="n">
        <v>4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HYPERLINK("http://catalog.hathitrust.org/Record/001133708","HathiTrust Record")</f>
        <v/>
      </c>
      <c r="AS391">
        <f>HYPERLINK("https://creighton-primo.hosted.exlibrisgroup.com/primo-explore/search?tab=default_tab&amp;search_scope=EVERYTHING&amp;vid=01CRU&amp;lang=en_US&amp;offset=0&amp;query=any,contains,991002851549702656","Catalog Record")</f>
        <v/>
      </c>
      <c r="AT391">
        <f>HYPERLINK("http://www.worldcat.org/oclc/487332","WorldCat Record")</f>
        <v/>
      </c>
      <c r="AU391" t="inlineStr">
        <is>
          <t>1573205:eng</t>
        </is>
      </c>
      <c r="AV391" t="inlineStr">
        <is>
          <t>487332</t>
        </is>
      </c>
      <c r="AW391" t="inlineStr">
        <is>
          <t>991002851549702656</t>
        </is>
      </c>
      <c r="AX391" t="inlineStr">
        <is>
          <t>991002851549702656</t>
        </is>
      </c>
      <c r="AY391" t="inlineStr">
        <is>
          <t>2255127680002656</t>
        </is>
      </c>
      <c r="AZ391" t="inlineStr">
        <is>
          <t>BOOK</t>
        </is>
      </c>
      <c r="BC391" t="inlineStr">
        <is>
          <t>32285000976893</t>
        </is>
      </c>
      <c r="BD391" t="inlineStr">
        <is>
          <t>893880498</t>
        </is>
      </c>
    </row>
    <row r="392">
      <c r="A392" t="inlineStr">
        <is>
          <t>No</t>
        </is>
      </c>
      <c r="B392" t="inlineStr">
        <is>
          <t>HV5810 .E33 1988</t>
        </is>
      </c>
      <c r="C392" t="inlineStr">
        <is>
          <t>0                      HV 5810000E  33          1988</t>
        </is>
      </c>
      <c r="D392" t="inlineStr">
        <is>
          <t>The cocaine wars / Paul Eddy, Hugo Sabogal, Sara Walden.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Eddy, Paul, 1944-2009.</t>
        </is>
      </c>
      <c r="L392" t="inlineStr">
        <is>
          <t>New York : Norton, 1988.</t>
        </is>
      </c>
      <c r="M392" t="inlineStr">
        <is>
          <t>1988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HV </t>
        </is>
      </c>
      <c r="S392" t="n">
        <v>1</v>
      </c>
      <c r="T392" t="n">
        <v>1</v>
      </c>
      <c r="U392" t="inlineStr">
        <is>
          <t>1992-04-05</t>
        </is>
      </c>
      <c r="V392" t="inlineStr">
        <is>
          <t>1992-04-05</t>
        </is>
      </c>
      <c r="W392" t="inlineStr">
        <is>
          <t>1990-05-03</t>
        </is>
      </c>
      <c r="X392" t="inlineStr">
        <is>
          <t>1990-05-03</t>
        </is>
      </c>
      <c r="Y392" t="n">
        <v>1052</v>
      </c>
      <c r="Z392" t="n">
        <v>1005</v>
      </c>
      <c r="AA392" t="n">
        <v>1031</v>
      </c>
      <c r="AB392" t="n">
        <v>5</v>
      </c>
      <c r="AC392" t="n">
        <v>5</v>
      </c>
      <c r="AD392" t="n">
        <v>25</v>
      </c>
      <c r="AE392" t="n">
        <v>25</v>
      </c>
      <c r="AF392" t="n">
        <v>9</v>
      </c>
      <c r="AG392" t="n">
        <v>9</v>
      </c>
      <c r="AH392" t="n">
        <v>4</v>
      </c>
      <c r="AI392" t="n">
        <v>4</v>
      </c>
      <c r="AJ392" t="n">
        <v>15</v>
      </c>
      <c r="AK392" t="n">
        <v>15</v>
      </c>
      <c r="AL392" t="n">
        <v>2</v>
      </c>
      <c r="AM392" t="n">
        <v>2</v>
      </c>
      <c r="AN392" t="n">
        <v>1</v>
      </c>
      <c r="AO392" t="n">
        <v>1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HYPERLINK("https://creighton-primo.hosted.exlibrisgroup.com/primo-explore/search?tab=default_tab&amp;search_scope=EVERYTHING&amp;vid=01CRU&amp;lang=en_US&amp;offset=0&amp;query=any,contains,991001195069702656","Catalog Record")</f>
        <v/>
      </c>
      <c r="AT392">
        <f>HYPERLINK("http://www.worldcat.org/oclc/17265710","WorldCat Record")</f>
        <v/>
      </c>
      <c r="AU392" t="inlineStr">
        <is>
          <t>365190549:eng</t>
        </is>
      </c>
      <c r="AV392" t="inlineStr">
        <is>
          <t>17265710</t>
        </is>
      </c>
      <c r="AW392" t="inlineStr">
        <is>
          <t>991001195069702656</t>
        </is>
      </c>
      <c r="AX392" t="inlineStr">
        <is>
          <t>991001195069702656</t>
        </is>
      </c>
      <c r="AY392" t="inlineStr">
        <is>
          <t>2263917760002656</t>
        </is>
      </c>
      <c r="AZ392" t="inlineStr">
        <is>
          <t>BOOK</t>
        </is>
      </c>
      <c r="BB392" t="inlineStr">
        <is>
          <t>9780393025798</t>
        </is>
      </c>
      <c r="BC392" t="inlineStr">
        <is>
          <t>32285000148121</t>
        </is>
      </c>
      <c r="BD392" t="inlineStr">
        <is>
          <t>893626597</t>
        </is>
      </c>
    </row>
    <row r="393">
      <c r="A393" t="inlineStr">
        <is>
          <t>No</t>
        </is>
      </c>
      <c r="B393" t="inlineStr">
        <is>
          <t>HV5810 .G73 1985</t>
        </is>
      </c>
      <c r="C393" t="inlineStr">
        <is>
          <t>0                      HV 5810000G  73          1985</t>
        </is>
      </c>
      <c r="D393" t="inlineStr">
        <is>
          <t>Cocaine : a drug and its social evolution / Lester Grinspoon &amp; James B. Bakalar.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Grinspoon, Lester, 1928-2020.</t>
        </is>
      </c>
      <c r="L393" t="inlineStr">
        <is>
          <t>New York : Basic Books, c1985.</t>
        </is>
      </c>
      <c r="M393" t="inlineStr">
        <is>
          <t>1985</t>
        </is>
      </c>
      <c r="N393" t="inlineStr">
        <is>
          <t>Rev. ed.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HV </t>
        </is>
      </c>
      <c r="S393" t="n">
        <v>5</v>
      </c>
      <c r="T393" t="n">
        <v>5</v>
      </c>
      <c r="U393" t="inlineStr">
        <is>
          <t>2005-09-29</t>
        </is>
      </c>
      <c r="V393" t="inlineStr">
        <is>
          <t>2005-09-29</t>
        </is>
      </c>
      <c r="W393" t="inlineStr">
        <is>
          <t>1998-12-07</t>
        </is>
      </c>
      <c r="X393" t="inlineStr">
        <is>
          <t>1998-12-07</t>
        </is>
      </c>
      <c r="Y393" t="n">
        <v>344</v>
      </c>
      <c r="Z393" t="n">
        <v>304</v>
      </c>
      <c r="AA393" t="n">
        <v>848</v>
      </c>
      <c r="AB393" t="n">
        <v>1</v>
      </c>
      <c r="AC393" t="n">
        <v>6</v>
      </c>
      <c r="AD393" t="n">
        <v>13</v>
      </c>
      <c r="AE393" t="n">
        <v>25</v>
      </c>
      <c r="AF393" t="n">
        <v>5</v>
      </c>
      <c r="AG393" t="n">
        <v>9</v>
      </c>
      <c r="AH393" t="n">
        <v>2</v>
      </c>
      <c r="AI393" t="n">
        <v>5</v>
      </c>
      <c r="AJ393" t="n">
        <v>11</v>
      </c>
      <c r="AK393" t="n">
        <v>13</v>
      </c>
      <c r="AL393" t="n">
        <v>0</v>
      </c>
      <c r="AM393" t="n">
        <v>2</v>
      </c>
      <c r="AN393" t="n">
        <v>0</v>
      </c>
      <c r="AO393" t="n">
        <v>2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HYPERLINK("https://creighton-primo.hosted.exlibrisgroup.com/primo-explore/search?tab=default_tab&amp;search_scope=EVERYTHING&amp;vid=01CRU&amp;lang=en_US&amp;offset=0&amp;query=any,contains,991000727889702656","Catalog Record")</f>
        <v/>
      </c>
      <c r="AT393">
        <f>HYPERLINK("http://www.worldcat.org/oclc/12714959","WorldCat Record")</f>
        <v/>
      </c>
      <c r="AU393" t="inlineStr">
        <is>
          <t>487255:eng</t>
        </is>
      </c>
      <c r="AV393" t="inlineStr">
        <is>
          <t>12714959</t>
        </is>
      </c>
      <c r="AW393" t="inlineStr">
        <is>
          <t>991000727889702656</t>
        </is>
      </c>
      <c r="AX393" t="inlineStr">
        <is>
          <t>991000727889702656</t>
        </is>
      </c>
      <c r="AY393" t="inlineStr">
        <is>
          <t>2265950940002656</t>
        </is>
      </c>
      <c r="AZ393" t="inlineStr">
        <is>
          <t>BOOK</t>
        </is>
      </c>
      <c r="BB393" t="inlineStr">
        <is>
          <t>9780465011919</t>
        </is>
      </c>
      <c r="BC393" t="inlineStr">
        <is>
          <t>32285000112739</t>
        </is>
      </c>
      <c r="BD393" t="inlineStr">
        <is>
          <t>893255677</t>
        </is>
      </c>
    </row>
    <row r="394">
      <c r="A394" t="inlineStr">
        <is>
          <t>No</t>
        </is>
      </c>
      <c r="B394" t="inlineStr">
        <is>
          <t>HV5810 .W24 1991</t>
        </is>
      </c>
      <c r="C394" t="inlineStr">
        <is>
          <t>0                      HV 5810000W  24          1991</t>
        </is>
      </c>
      <c r="D394" t="inlineStr">
        <is>
          <t>Cocaine changes : the experience of using and quitting / Dan Waldorf, Craig Reinarman, Sheigla Murphy.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Waldorf, Dan.</t>
        </is>
      </c>
      <c r="L394" t="inlineStr">
        <is>
          <t>Philadelphia : Temple University Press, 1991.</t>
        </is>
      </c>
      <c r="M394" t="inlineStr">
        <is>
          <t>1991</t>
        </is>
      </c>
      <c r="O394" t="inlineStr">
        <is>
          <t>eng</t>
        </is>
      </c>
      <c r="P394" t="inlineStr">
        <is>
          <t>pau</t>
        </is>
      </c>
      <c r="Q394" t="inlineStr">
        <is>
          <t>Health, society, and policy</t>
        </is>
      </c>
      <c r="R394" t="inlineStr">
        <is>
          <t xml:space="preserve">HV </t>
        </is>
      </c>
      <c r="S394" t="n">
        <v>1</v>
      </c>
      <c r="T394" t="n">
        <v>1</v>
      </c>
      <c r="U394" t="inlineStr">
        <is>
          <t>2003-01-06</t>
        </is>
      </c>
      <c r="V394" t="inlineStr">
        <is>
          <t>2003-01-06</t>
        </is>
      </c>
      <c r="W394" t="inlineStr">
        <is>
          <t>2003-01-06</t>
        </is>
      </c>
      <c r="X394" t="inlineStr">
        <is>
          <t>2003-01-06</t>
        </is>
      </c>
      <c r="Y394" t="n">
        <v>421</v>
      </c>
      <c r="Z394" t="n">
        <v>378</v>
      </c>
      <c r="AA394" t="n">
        <v>383</v>
      </c>
      <c r="AB394" t="n">
        <v>2</v>
      </c>
      <c r="AC394" t="n">
        <v>2</v>
      </c>
      <c r="AD394" t="n">
        <v>14</v>
      </c>
      <c r="AE394" t="n">
        <v>14</v>
      </c>
      <c r="AF394" t="n">
        <v>7</v>
      </c>
      <c r="AG394" t="n">
        <v>7</v>
      </c>
      <c r="AH394" t="n">
        <v>4</v>
      </c>
      <c r="AI394" t="n">
        <v>4</v>
      </c>
      <c r="AJ394" t="n">
        <v>7</v>
      </c>
      <c r="AK394" t="n">
        <v>7</v>
      </c>
      <c r="AL394" t="n">
        <v>1</v>
      </c>
      <c r="AM394" t="n">
        <v>1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HYPERLINK("https://creighton-primo.hosted.exlibrisgroup.com/primo-explore/search?tab=default_tab&amp;search_scope=EVERYTHING&amp;vid=01CRU&amp;lang=en_US&amp;offset=0&amp;query=any,contains,991003933019702656","Catalog Record")</f>
        <v/>
      </c>
      <c r="AT394">
        <f>HYPERLINK("http://www.worldcat.org/oclc/23647818","WorldCat Record")</f>
        <v/>
      </c>
      <c r="AU394" t="inlineStr">
        <is>
          <t>889963374:eng</t>
        </is>
      </c>
      <c r="AV394" t="inlineStr">
        <is>
          <t>23647818</t>
        </is>
      </c>
      <c r="AW394" t="inlineStr">
        <is>
          <t>991003933019702656</t>
        </is>
      </c>
      <c r="AX394" t="inlineStr">
        <is>
          <t>991003933019702656</t>
        </is>
      </c>
      <c r="AY394" t="inlineStr">
        <is>
          <t>2260722520002656</t>
        </is>
      </c>
      <c r="AZ394" t="inlineStr">
        <is>
          <t>BOOK</t>
        </is>
      </c>
      <c r="BB394" t="inlineStr">
        <is>
          <t>9780877228639</t>
        </is>
      </c>
      <c r="BC394" t="inlineStr">
        <is>
          <t>32285004691506</t>
        </is>
      </c>
      <c r="BD394" t="inlineStr">
        <is>
          <t>893699607</t>
        </is>
      </c>
    </row>
    <row r="395">
      <c r="A395" t="inlineStr">
        <is>
          <t>No</t>
        </is>
      </c>
      <c r="B395" t="inlineStr">
        <is>
          <t>HV5816 .B66 1998</t>
        </is>
      </c>
      <c r="C395" t="inlineStr">
        <is>
          <t>0                      HV 5816000B  66          1998</t>
        </is>
      </c>
      <c r="D395" t="inlineStr">
        <is>
          <t>Opium : a history / Martin Booth.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Booth, Martin.</t>
        </is>
      </c>
      <c r="L395" t="inlineStr">
        <is>
          <t>New York : St. Martin's Press, 1998.</t>
        </is>
      </c>
      <c r="M395" t="inlineStr">
        <is>
          <t>1998</t>
        </is>
      </c>
      <c r="N395" t="inlineStr">
        <is>
          <t>1st U.S. ed.</t>
        </is>
      </c>
      <c r="O395" t="inlineStr">
        <is>
          <t>eng</t>
        </is>
      </c>
      <c r="P395" t="inlineStr">
        <is>
          <t>nyu</t>
        </is>
      </c>
      <c r="R395" t="inlineStr">
        <is>
          <t xml:space="preserve">HV </t>
        </is>
      </c>
      <c r="S395" t="n">
        <v>6</v>
      </c>
      <c r="T395" t="n">
        <v>6</v>
      </c>
      <c r="U395" t="inlineStr">
        <is>
          <t>2004-11-30</t>
        </is>
      </c>
      <c r="V395" t="inlineStr">
        <is>
          <t>2004-11-30</t>
        </is>
      </c>
      <c r="W395" t="inlineStr">
        <is>
          <t>1998-07-30</t>
        </is>
      </c>
      <c r="X395" t="inlineStr">
        <is>
          <t>1998-07-30</t>
        </is>
      </c>
      <c r="Y395" t="n">
        <v>1059</v>
      </c>
      <c r="Z395" t="n">
        <v>1010</v>
      </c>
      <c r="AA395" t="n">
        <v>1214</v>
      </c>
      <c r="AB395" t="n">
        <v>8</v>
      </c>
      <c r="AC395" t="n">
        <v>9</v>
      </c>
      <c r="AD395" t="n">
        <v>24</v>
      </c>
      <c r="AE395" t="n">
        <v>30</v>
      </c>
      <c r="AF395" t="n">
        <v>10</v>
      </c>
      <c r="AG395" t="n">
        <v>12</v>
      </c>
      <c r="AH395" t="n">
        <v>5</v>
      </c>
      <c r="AI395" t="n">
        <v>7</v>
      </c>
      <c r="AJ395" t="n">
        <v>12</v>
      </c>
      <c r="AK395" t="n">
        <v>15</v>
      </c>
      <c r="AL395" t="n">
        <v>4</v>
      </c>
      <c r="AM395" t="n">
        <v>5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HYPERLINK("https://creighton-primo.hosted.exlibrisgroup.com/primo-explore/search?tab=default_tab&amp;search_scope=EVERYTHING&amp;vid=01CRU&amp;lang=en_US&amp;offset=0&amp;query=any,contains,991002916299702656","Catalog Record")</f>
        <v/>
      </c>
      <c r="AT395">
        <f>HYPERLINK("http://www.worldcat.org/oclc/38557333","WorldCat Record")</f>
        <v/>
      </c>
      <c r="AU395" t="inlineStr">
        <is>
          <t>26588635:eng</t>
        </is>
      </c>
      <c r="AV395" t="inlineStr">
        <is>
          <t>38557333</t>
        </is>
      </c>
      <c r="AW395" t="inlineStr">
        <is>
          <t>991002916299702656</t>
        </is>
      </c>
      <c r="AX395" t="inlineStr">
        <is>
          <t>991002916299702656</t>
        </is>
      </c>
      <c r="AY395" t="inlineStr">
        <is>
          <t>2262365810002656</t>
        </is>
      </c>
      <c r="AZ395" t="inlineStr">
        <is>
          <t>BOOK</t>
        </is>
      </c>
      <c r="BB395" t="inlineStr">
        <is>
          <t>9780312186432</t>
        </is>
      </c>
      <c r="BC395" t="inlineStr">
        <is>
          <t>32285003447843</t>
        </is>
      </c>
      <c r="BD395" t="inlineStr">
        <is>
          <t>893893170</t>
        </is>
      </c>
    </row>
    <row r="396">
      <c r="A396" t="inlineStr">
        <is>
          <t>No</t>
        </is>
      </c>
      <c r="B396" t="inlineStr">
        <is>
          <t>HV5816 .T4 1970</t>
        </is>
      </c>
      <c r="C396" t="inlineStr">
        <is>
          <t>0                      HV 5816000T  4           1970</t>
        </is>
      </c>
      <c r="D396" t="inlineStr">
        <is>
          <t>The opium problem / by Charles E. Terry and Mildred Pellens. With a new foreword by John C. Ball and a new pref. by Charles Winick.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Terry, Charles E., 1878-1945.</t>
        </is>
      </c>
      <c r="L396" t="inlineStr">
        <is>
          <t>Montclair, N.J. : Patterson Smith, 1970 [c1928]</t>
        </is>
      </c>
      <c r="M396" t="inlineStr">
        <is>
          <t>1970</t>
        </is>
      </c>
      <c r="O396" t="inlineStr">
        <is>
          <t>eng</t>
        </is>
      </c>
      <c r="P396" t="inlineStr">
        <is>
          <t>nju</t>
        </is>
      </c>
      <c r="Q396" t="inlineStr">
        <is>
          <t>Patterson Smith reprint series in criminology, law enforcement, and social problems ; publication no. 115</t>
        </is>
      </c>
      <c r="R396" t="inlineStr">
        <is>
          <t xml:space="preserve">HV </t>
        </is>
      </c>
      <c r="S396" t="n">
        <v>5</v>
      </c>
      <c r="T396" t="n">
        <v>5</v>
      </c>
      <c r="U396" t="inlineStr">
        <is>
          <t>2004-11-30</t>
        </is>
      </c>
      <c r="V396" t="inlineStr">
        <is>
          <t>2004-11-30</t>
        </is>
      </c>
      <c r="W396" t="inlineStr">
        <is>
          <t>1995-02-24</t>
        </is>
      </c>
      <c r="X396" t="inlineStr">
        <is>
          <t>1995-02-24</t>
        </is>
      </c>
      <c r="Y396" t="n">
        <v>265</v>
      </c>
      <c r="Z396" t="n">
        <v>233</v>
      </c>
      <c r="AA396" t="n">
        <v>402</v>
      </c>
      <c r="AB396" t="n">
        <v>3</v>
      </c>
      <c r="AC396" t="n">
        <v>4</v>
      </c>
      <c r="AD396" t="n">
        <v>11</v>
      </c>
      <c r="AE396" t="n">
        <v>19</v>
      </c>
      <c r="AF396" t="n">
        <v>5</v>
      </c>
      <c r="AG396" t="n">
        <v>9</v>
      </c>
      <c r="AH396" t="n">
        <v>1</v>
      </c>
      <c r="AI396" t="n">
        <v>3</v>
      </c>
      <c r="AJ396" t="n">
        <v>4</v>
      </c>
      <c r="AK396" t="n">
        <v>7</v>
      </c>
      <c r="AL396" t="n">
        <v>2</v>
      </c>
      <c r="AM396" t="n">
        <v>3</v>
      </c>
      <c r="AN396" t="n">
        <v>1</v>
      </c>
      <c r="AO396" t="n">
        <v>1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HYPERLINK("http://catalog.hathitrust.org/Record/002242785","HathiTrust Record")</f>
        <v/>
      </c>
      <c r="AS396">
        <f>HYPERLINK("https://creighton-primo.hosted.exlibrisgroup.com/primo-explore/search?tab=default_tab&amp;search_scope=EVERYTHING&amp;vid=01CRU&amp;lang=en_US&amp;offset=0&amp;query=any,contains,991000569369702656","Catalog Record")</f>
        <v/>
      </c>
      <c r="AT396">
        <f>HYPERLINK("http://www.worldcat.org/oclc/94698","WorldCat Record")</f>
        <v/>
      </c>
      <c r="AU396" t="inlineStr">
        <is>
          <t>1315190:eng</t>
        </is>
      </c>
      <c r="AV396" t="inlineStr">
        <is>
          <t>94698</t>
        </is>
      </c>
      <c r="AW396" t="inlineStr">
        <is>
          <t>991000569369702656</t>
        </is>
      </c>
      <c r="AX396" t="inlineStr">
        <is>
          <t>991000569369702656</t>
        </is>
      </c>
      <c r="AY396" t="inlineStr">
        <is>
          <t>2266053070002656</t>
        </is>
      </c>
      <c r="AZ396" t="inlineStr">
        <is>
          <t>BOOK</t>
        </is>
      </c>
      <c r="BB396" t="inlineStr">
        <is>
          <t>9780875851150</t>
        </is>
      </c>
      <c r="BC396" t="inlineStr">
        <is>
          <t>32285002010162</t>
        </is>
      </c>
      <c r="BD396" t="inlineStr">
        <is>
          <t>893614302</t>
        </is>
      </c>
    </row>
    <row r="397">
      <c r="A397" t="inlineStr">
        <is>
          <t>No</t>
        </is>
      </c>
      <c r="B397" t="inlineStr">
        <is>
          <t>HV5822.M3 M32</t>
        </is>
      </c>
      <c r="C397" t="inlineStr">
        <is>
          <t>0                      HV 5822000M  3                  M  32</t>
        </is>
      </c>
      <c r="D397" t="inlineStr">
        <is>
          <t>Marihuana : an annotated bibliography / Coy W. Waller ... [et al.].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New York : Macmillan Information, c1976.</t>
        </is>
      </c>
      <c r="M397" t="inlineStr">
        <is>
          <t>1976</t>
        </is>
      </c>
      <c r="O397" t="inlineStr">
        <is>
          <t>eng</t>
        </is>
      </c>
      <c r="P397" t="inlineStr">
        <is>
          <t>nyu</t>
        </is>
      </c>
      <c r="R397" t="inlineStr">
        <is>
          <t xml:space="preserve">HV </t>
        </is>
      </c>
      <c r="S397" t="n">
        <v>10</v>
      </c>
      <c r="T397" t="n">
        <v>10</v>
      </c>
      <c r="U397" t="inlineStr">
        <is>
          <t>1996-11-03</t>
        </is>
      </c>
      <c r="V397" t="inlineStr">
        <is>
          <t>1996-11-03</t>
        </is>
      </c>
      <c r="W397" t="inlineStr">
        <is>
          <t>1990-06-07</t>
        </is>
      </c>
      <c r="X397" t="inlineStr">
        <is>
          <t>1990-06-07</t>
        </is>
      </c>
      <c r="Y397" t="n">
        <v>471</v>
      </c>
      <c r="Z397" t="n">
        <v>414</v>
      </c>
      <c r="AA397" t="n">
        <v>427</v>
      </c>
      <c r="AB397" t="n">
        <v>3</v>
      </c>
      <c r="AC397" t="n">
        <v>3</v>
      </c>
      <c r="AD397" t="n">
        <v>19</v>
      </c>
      <c r="AE397" t="n">
        <v>19</v>
      </c>
      <c r="AF397" t="n">
        <v>7</v>
      </c>
      <c r="AG397" t="n">
        <v>7</v>
      </c>
      <c r="AH397" t="n">
        <v>5</v>
      </c>
      <c r="AI397" t="n">
        <v>5</v>
      </c>
      <c r="AJ397" t="n">
        <v>9</v>
      </c>
      <c r="AK397" t="n">
        <v>9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HYPERLINK("http://catalog.hathitrust.org/Record/000104044","HathiTrust Record")</f>
        <v/>
      </c>
      <c r="AS397">
        <f>HYPERLINK("https://creighton-primo.hosted.exlibrisgroup.com/primo-explore/search?tab=default_tab&amp;search_scope=EVERYTHING&amp;vid=01CRU&amp;lang=en_US&amp;offset=0&amp;query=any,contains,991004316069702656","Catalog Record")</f>
        <v/>
      </c>
      <c r="AT397">
        <f>HYPERLINK("http://www.worldcat.org/oclc/3003966","WorldCat Record")</f>
        <v/>
      </c>
      <c r="AU397" t="inlineStr">
        <is>
          <t>399502:eng</t>
        </is>
      </c>
      <c r="AV397" t="inlineStr">
        <is>
          <t>3003966</t>
        </is>
      </c>
      <c r="AW397" t="inlineStr">
        <is>
          <t>991004316069702656</t>
        </is>
      </c>
      <c r="AX397" t="inlineStr">
        <is>
          <t>991004316069702656</t>
        </is>
      </c>
      <c r="AY397" t="inlineStr">
        <is>
          <t>2272651790002656</t>
        </is>
      </c>
      <c r="AZ397" t="inlineStr">
        <is>
          <t>BOOK</t>
        </is>
      </c>
      <c r="BC397" t="inlineStr">
        <is>
          <t>32285000183573</t>
        </is>
      </c>
      <c r="BD397" t="inlineStr">
        <is>
          <t>893901100</t>
        </is>
      </c>
    </row>
    <row r="398">
      <c r="A398" t="inlineStr">
        <is>
          <t>No</t>
        </is>
      </c>
      <c r="B398" t="inlineStr">
        <is>
          <t>HV5824.A33 L56 1988</t>
        </is>
      </c>
      <c r="C398" t="inlineStr">
        <is>
          <t>0                      HV 5824000A  33                 L  56          1988</t>
        </is>
      </c>
      <c r="D398" t="inlineStr">
        <is>
          <t>Drugs and the elderly : clinical, social, and policy perspectives / Helene Levens Lipton, Philip R. Lee, with contributions by Mark S. Freeland.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Lipton, Helene L.</t>
        </is>
      </c>
      <c r="L398" t="inlineStr">
        <is>
          <t>Stanford, Calif. : Stanford University Press, 1988.</t>
        </is>
      </c>
      <c r="M398" t="inlineStr">
        <is>
          <t>1988</t>
        </is>
      </c>
      <c r="O398" t="inlineStr">
        <is>
          <t>eng</t>
        </is>
      </c>
      <c r="P398" t="inlineStr">
        <is>
          <t>cau</t>
        </is>
      </c>
      <c r="R398" t="inlineStr">
        <is>
          <t xml:space="preserve">HV </t>
        </is>
      </c>
      <c r="S398" t="n">
        <v>8</v>
      </c>
      <c r="T398" t="n">
        <v>8</v>
      </c>
      <c r="U398" t="inlineStr">
        <is>
          <t>2006-10-26</t>
        </is>
      </c>
      <c r="V398" t="inlineStr">
        <is>
          <t>2006-10-26</t>
        </is>
      </c>
      <c r="W398" t="inlineStr">
        <is>
          <t>1990-07-06</t>
        </is>
      </c>
      <c r="X398" t="inlineStr">
        <is>
          <t>1990-07-06</t>
        </is>
      </c>
      <c r="Y398" t="n">
        <v>417</v>
      </c>
      <c r="Z398" t="n">
        <v>366</v>
      </c>
      <c r="AA398" t="n">
        <v>367</v>
      </c>
      <c r="AB398" t="n">
        <v>3</v>
      </c>
      <c r="AC398" t="n">
        <v>3</v>
      </c>
      <c r="AD398" t="n">
        <v>15</v>
      </c>
      <c r="AE398" t="n">
        <v>15</v>
      </c>
      <c r="AF398" t="n">
        <v>4</v>
      </c>
      <c r="AG398" t="n">
        <v>4</v>
      </c>
      <c r="AH398" t="n">
        <v>4</v>
      </c>
      <c r="AI398" t="n">
        <v>4</v>
      </c>
      <c r="AJ398" t="n">
        <v>9</v>
      </c>
      <c r="AK398" t="n">
        <v>9</v>
      </c>
      <c r="AL398" t="n">
        <v>2</v>
      </c>
      <c r="AM398" t="n">
        <v>2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HYPERLINK("https://creighton-primo.hosted.exlibrisgroup.com/primo-explore/search?tab=default_tab&amp;search_scope=EVERYTHING&amp;vid=01CRU&amp;lang=en_US&amp;offset=0&amp;query=any,contains,991001194599702656","Catalog Record")</f>
        <v/>
      </c>
      <c r="AT398">
        <f>HYPERLINK("http://www.worldcat.org/oclc/17265157","WorldCat Record")</f>
        <v/>
      </c>
      <c r="AU398" t="inlineStr">
        <is>
          <t>431622338:eng</t>
        </is>
      </c>
      <c r="AV398" t="inlineStr">
        <is>
          <t>17265157</t>
        </is>
      </c>
      <c r="AW398" t="inlineStr">
        <is>
          <t>991001194599702656</t>
        </is>
      </c>
      <c r="AX398" t="inlineStr">
        <is>
          <t>991001194599702656</t>
        </is>
      </c>
      <c r="AY398" t="inlineStr">
        <is>
          <t>2264148970002656</t>
        </is>
      </c>
      <c r="AZ398" t="inlineStr">
        <is>
          <t>BOOK</t>
        </is>
      </c>
      <c r="BB398" t="inlineStr">
        <is>
          <t>9780804712958</t>
        </is>
      </c>
      <c r="BC398" t="inlineStr">
        <is>
          <t>32285000225713</t>
        </is>
      </c>
      <c r="BD398" t="inlineStr">
        <is>
          <t>893515974</t>
        </is>
      </c>
    </row>
    <row r="399">
      <c r="A399" t="inlineStr">
        <is>
          <t>No</t>
        </is>
      </c>
      <c r="B399" t="inlineStr">
        <is>
          <t>HV5824.W6 I53 1993</t>
        </is>
      </c>
      <c r="C399" t="inlineStr">
        <is>
          <t>0                      HV 5824000W  6                  I  53          1993</t>
        </is>
      </c>
      <c r="D399" t="inlineStr">
        <is>
          <t>Women and crack-cocaine / James A. Inciardi, Dorothy Lockwood, Anne E. Pottieger.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Inciardi, James A.</t>
        </is>
      </c>
      <c r="L399" t="inlineStr">
        <is>
          <t>New York : Macmillan, 1993.</t>
        </is>
      </c>
      <c r="M399" t="inlineStr">
        <is>
          <t>1993</t>
        </is>
      </c>
      <c r="O399" t="inlineStr">
        <is>
          <t>eng</t>
        </is>
      </c>
      <c r="P399" t="inlineStr">
        <is>
          <t>nyu</t>
        </is>
      </c>
      <c r="Q399" t="inlineStr">
        <is>
          <t>Macmillan criminal justice series</t>
        </is>
      </c>
      <c r="R399" t="inlineStr">
        <is>
          <t xml:space="preserve">HV </t>
        </is>
      </c>
      <c r="S399" t="n">
        <v>16</v>
      </c>
      <c r="T399" t="n">
        <v>16</v>
      </c>
      <c r="U399" t="inlineStr">
        <is>
          <t>2001-11-26</t>
        </is>
      </c>
      <c r="V399" t="inlineStr">
        <is>
          <t>2001-11-26</t>
        </is>
      </c>
      <c r="W399" t="inlineStr">
        <is>
          <t>1993-05-06</t>
        </is>
      </c>
      <c r="X399" t="inlineStr">
        <is>
          <t>1993-05-06</t>
        </is>
      </c>
      <c r="Y399" t="n">
        <v>371</v>
      </c>
      <c r="Z399" t="n">
        <v>328</v>
      </c>
      <c r="AA399" t="n">
        <v>335</v>
      </c>
      <c r="AB399" t="n">
        <v>4</v>
      </c>
      <c r="AC399" t="n">
        <v>4</v>
      </c>
      <c r="AD399" t="n">
        <v>17</v>
      </c>
      <c r="AE399" t="n">
        <v>17</v>
      </c>
      <c r="AF399" t="n">
        <v>5</v>
      </c>
      <c r="AG399" t="n">
        <v>5</v>
      </c>
      <c r="AH399" t="n">
        <v>3</v>
      </c>
      <c r="AI399" t="n">
        <v>3</v>
      </c>
      <c r="AJ399" t="n">
        <v>10</v>
      </c>
      <c r="AK399" t="n">
        <v>10</v>
      </c>
      <c r="AL399" t="n">
        <v>3</v>
      </c>
      <c r="AM399" t="n">
        <v>3</v>
      </c>
      <c r="AN399" t="n">
        <v>1</v>
      </c>
      <c r="AO399" t="n">
        <v>1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HYPERLINK("http://catalog.hathitrust.org/Record/002638267","HathiTrust Record")</f>
        <v/>
      </c>
      <c r="AS399">
        <f>HYPERLINK("https://creighton-primo.hosted.exlibrisgroup.com/primo-explore/search?tab=default_tab&amp;search_scope=EVERYTHING&amp;vid=01CRU&amp;lang=en_US&amp;offset=0&amp;query=any,contains,991002061719702656","Catalog Record")</f>
        <v/>
      </c>
      <c r="AT399">
        <f>HYPERLINK("http://www.worldcat.org/oclc/26395853","WorldCat Record")</f>
        <v/>
      </c>
      <c r="AU399" t="inlineStr">
        <is>
          <t>395162:eng</t>
        </is>
      </c>
      <c r="AV399" t="inlineStr">
        <is>
          <t>26395853</t>
        </is>
      </c>
      <c r="AW399" t="inlineStr">
        <is>
          <t>991002061719702656</t>
        </is>
      </c>
      <c r="AX399" t="inlineStr">
        <is>
          <t>991002061719702656</t>
        </is>
      </c>
      <c r="AY399" t="inlineStr">
        <is>
          <t>2255398870002656</t>
        </is>
      </c>
      <c r="AZ399" t="inlineStr">
        <is>
          <t>BOOK</t>
        </is>
      </c>
      <c r="BB399" t="inlineStr">
        <is>
          <t>9780023594403</t>
        </is>
      </c>
      <c r="BC399" t="inlineStr">
        <is>
          <t>32285001580785</t>
        </is>
      </c>
      <c r="BD399" t="inlineStr">
        <is>
          <t>893773173</t>
        </is>
      </c>
    </row>
    <row r="400">
      <c r="A400" t="inlineStr">
        <is>
          <t>No</t>
        </is>
      </c>
      <c r="B400" t="inlineStr">
        <is>
          <t>HV5824.W6 M345 2000</t>
        </is>
      </c>
      <c r="C400" t="inlineStr">
        <is>
          <t>0                      HV 5824000W  6                  M  345         2000</t>
        </is>
      </c>
      <c r="D400" t="inlineStr">
        <is>
          <t>Sexed work : gender, race and resistance in a Brooklyn drug market / Lisa Maher.</t>
        </is>
      </c>
      <c r="F400" t="inlineStr">
        <is>
          <t>No</t>
        </is>
      </c>
      <c r="G400" t="inlineStr">
        <is>
          <t>1</t>
        </is>
      </c>
      <c r="H400" t="inlineStr">
        <is>
          <t>Yes</t>
        </is>
      </c>
      <c r="I400" t="inlineStr">
        <is>
          <t>No</t>
        </is>
      </c>
      <c r="J400" t="inlineStr">
        <is>
          <t>0</t>
        </is>
      </c>
      <c r="K400" t="inlineStr">
        <is>
          <t>Maher, Lisa.</t>
        </is>
      </c>
      <c r="L400" t="inlineStr">
        <is>
          <t>Oxford ; New York : Oxford University Press, 2000.</t>
        </is>
      </c>
      <c r="M400" t="inlineStr">
        <is>
          <t>2000</t>
        </is>
      </c>
      <c r="O400" t="inlineStr">
        <is>
          <t>eng</t>
        </is>
      </c>
      <c r="P400" t="inlineStr">
        <is>
          <t>enk</t>
        </is>
      </c>
      <c r="Q400" t="inlineStr">
        <is>
          <t>Clarendon studies in criminology</t>
        </is>
      </c>
      <c r="R400" t="inlineStr">
        <is>
          <t xml:space="preserve">HV </t>
        </is>
      </c>
      <c r="S400" t="n">
        <v>2</v>
      </c>
      <c r="T400" t="n">
        <v>2</v>
      </c>
      <c r="U400" t="inlineStr">
        <is>
          <t>2010-07-21</t>
        </is>
      </c>
      <c r="V400" t="inlineStr">
        <is>
          <t>2010-07-21</t>
        </is>
      </c>
      <c r="W400" t="inlineStr">
        <is>
          <t>2001-11-13</t>
        </is>
      </c>
      <c r="X400" t="inlineStr">
        <is>
          <t>2015-05-21</t>
        </is>
      </c>
      <c r="Y400" t="n">
        <v>63</v>
      </c>
      <c r="Z400" t="n">
        <v>38</v>
      </c>
      <c r="AA400" t="n">
        <v>345</v>
      </c>
      <c r="AB400" t="n">
        <v>2</v>
      </c>
      <c r="AC400" t="n">
        <v>4</v>
      </c>
      <c r="AD400" t="n">
        <v>1</v>
      </c>
      <c r="AE400" t="n">
        <v>23</v>
      </c>
      <c r="AF400" t="n">
        <v>0</v>
      </c>
      <c r="AG400" t="n">
        <v>5</v>
      </c>
      <c r="AH400" t="n">
        <v>0</v>
      </c>
      <c r="AI400" t="n">
        <v>6</v>
      </c>
      <c r="AJ400" t="n">
        <v>0</v>
      </c>
      <c r="AK400" t="n">
        <v>13</v>
      </c>
      <c r="AL400" t="n">
        <v>0</v>
      </c>
      <c r="AM400" t="n">
        <v>2</v>
      </c>
      <c r="AN400" t="n">
        <v>1</v>
      </c>
      <c r="AO400" t="n">
        <v>3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HYPERLINK("https://creighton-primo.hosted.exlibrisgroup.com/primo-explore/search?tab=default_tab&amp;search_scope=EVERYTHING&amp;vid=01CRU&amp;lang=en_US&amp;offset=0&amp;query=any,contains,991001708869702656","Catalog Record")</f>
        <v/>
      </c>
      <c r="AT400">
        <f>HYPERLINK("http://www.worldcat.org/oclc/43541127","WorldCat Record")</f>
        <v/>
      </c>
      <c r="AU400" t="inlineStr">
        <is>
          <t>836914726:eng</t>
        </is>
      </c>
      <c r="AV400" t="inlineStr">
        <is>
          <t>43541127</t>
        </is>
      </c>
      <c r="AW400" t="inlineStr">
        <is>
          <t>991001708869702656</t>
        </is>
      </c>
      <c r="AX400" t="inlineStr">
        <is>
          <t>991001708869702656</t>
        </is>
      </c>
      <c r="AY400" t="inlineStr">
        <is>
          <t>2255252000002656</t>
        </is>
      </c>
      <c r="AZ400" t="inlineStr">
        <is>
          <t>BOOK</t>
        </is>
      </c>
      <c r="BB400" t="inlineStr">
        <is>
          <t>9780198299318</t>
        </is>
      </c>
      <c r="BC400" t="inlineStr">
        <is>
          <t>32285004410725</t>
        </is>
      </c>
      <c r="BD400" t="inlineStr">
        <is>
          <t>893444769</t>
        </is>
      </c>
    </row>
    <row r="401">
      <c r="A401" t="inlineStr">
        <is>
          <t>No</t>
        </is>
      </c>
      <c r="B401" t="inlineStr">
        <is>
          <t>HV5824.Y68 D7713 1995</t>
        </is>
      </c>
      <c r="C401" t="inlineStr">
        <is>
          <t>0                      HV 5824000Y  68                 D  7713        1995</t>
        </is>
      </c>
      <c r="D401" t="inlineStr">
        <is>
          <t>Drug abuse prevention with multiethnic youth / editors, Gilbert J. Botvin, Steven Schinke, Mario A. Orlandi.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L401" t="inlineStr">
        <is>
          <t>Thousand Oaks, Calif. : Sage Publications, c1995.</t>
        </is>
      </c>
      <c r="M401" t="inlineStr">
        <is>
          <t>1995</t>
        </is>
      </c>
      <c r="O401" t="inlineStr">
        <is>
          <t>eng</t>
        </is>
      </c>
      <c r="P401" t="inlineStr">
        <is>
          <t>cau</t>
        </is>
      </c>
      <c r="R401" t="inlineStr">
        <is>
          <t xml:space="preserve">HV </t>
        </is>
      </c>
      <c r="S401" t="n">
        <v>14</v>
      </c>
      <c r="T401" t="n">
        <v>14</v>
      </c>
      <c r="U401" t="inlineStr">
        <is>
          <t>2005-07-13</t>
        </is>
      </c>
      <c r="V401" t="inlineStr">
        <is>
          <t>2005-07-13</t>
        </is>
      </c>
      <c r="W401" t="inlineStr">
        <is>
          <t>1996-10-07</t>
        </is>
      </c>
      <c r="X401" t="inlineStr">
        <is>
          <t>1996-10-07</t>
        </is>
      </c>
      <c r="Y401" t="n">
        <v>340</v>
      </c>
      <c r="Z401" t="n">
        <v>281</v>
      </c>
      <c r="AA401" t="n">
        <v>288</v>
      </c>
      <c r="AB401" t="n">
        <v>5</v>
      </c>
      <c r="AC401" t="n">
        <v>5</v>
      </c>
      <c r="AD401" t="n">
        <v>14</v>
      </c>
      <c r="AE401" t="n">
        <v>14</v>
      </c>
      <c r="AF401" t="n">
        <v>3</v>
      </c>
      <c r="AG401" t="n">
        <v>3</v>
      </c>
      <c r="AH401" t="n">
        <v>2</v>
      </c>
      <c r="AI401" t="n">
        <v>2</v>
      </c>
      <c r="AJ401" t="n">
        <v>8</v>
      </c>
      <c r="AK401" t="n">
        <v>8</v>
      </c>
      <c r="AL401" t="n">
        <v>4</v>
      </c>
      <c r="AM401" t="n">
        <v>4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HYPERLINK("http://catalog.hathitrust.org/Record/003009189","HathiTrust Record")</f>
        <v/>
      </c>
      <c r="AS401">
        <f>HYPERLINK("https://creighton-primo.hosted.exlibrisgroup.com/primo-explore/search?tab=default_tab&amp;search_scope=EVERYTHING&amp;vid=01CRU&amp;lang=en_US&amp;offset=0&amp;query=any,contains,991002482459702656","Catalog Record")</f>
        <v/>
      </c>
      <c r="AT401">
        <f>HYPERLINK("http://www.worldcat.org/oclc/32312209","WorldCat Record")</f>
        <v/>
      </c>
      <c r="AU401" t="inlineStr">
        <is>
          <t>362868807:eng</t>
        </is>
      </c>
      <c r="AV401" t="inlineStr">
        <is>
          <t>32312209</t>
        </is>
      </c>
      <c r="AW401" t="inlineStr">
        <is>
          <t>991002482459702656</t>
        </is>
      </c>
      <c r="AX401" t="inlineStr">
        <is>
          <t>991002482459702656</t>
        </is>
      </c>
      <c r="AY401" t="inlineStr">
        <is>
          <t>2266440900002656</t>
        </is>
      </c>
      <c r="AZ401" t="inlineStr">
        <is>
          <t>BOOK</t>
        </is>
      </c>
      <c r="BB401" t="inlineStr">
        <is>
          <t>9780803957114</t>
        </is>
      </c>
      <c r="BC401" t="inlineStr">
        <is>
          <t>32285002323532</t>
        </is>
      </c>
      <c r="BD401" t="inlineStr">
        <is>
          <t>893535027</t>
        </is>
      </c>
    </row>
    <row r="402">
      <c r="A402" t="inlineStr">
        <is>
          <t>No</t>
        </is>
      </c>
      <c r="B402" t="inlineStr">
        <is>
          <t>HV5824.Y68 F35 1988</t>
        </is>
      </c>
      <c r="C402" t="inlineStr">
        <is>
          <t>0                      HV 5824000Y  68                 F  35          1988</t>
        </is>
      </c>
      <c r="D402" t="inlineStr">
        <is>
          <t>The Family context of adolescent drug use / Robert H. Coombs, editor.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New York : Haworth Press, c1988.</t>
        </is>
      </c>
      <c r="M402" t="inlineStr">
        <is>
          <t>1988</t>
        </is>
      </c>
      <c r="O402" t="inlineStr">
        <is>
          <t>eng</t>
        </is>
      </c>
      <c r="P402" t="inlineStr">
        <is>
          <t>nyu</t>
        </is>
      </c>
      <c r="R402" t="inlineStr">
        <is>
          <t xml:space="preserve">HV </t>
        </is>
      </c>
      <c r="S402" t="n">
        <v>23</v>
      </c>
      <c r="T402" t="n">
        <v>23</v>
      </c>
      <c r="U402" t="inlineStr">
        <is>
          <t>2008-02-19</t>
        </is>
      </c>
      <c r="V402" t="inlineStr">
        <is>
          <t>2008-02-19</t>
        </is>
      </c>
      <c r="W402" t="inlineStr">
        <is>
          <t>1990-05-02</t>
        </is>
      </c>
      <c r="X402" t="inlineStr">
        <is>
          <t>1990-05-02</t>
        </is>
      </c>
      <c r="Y402" t="n">
        <v>258</v>
      </c>
      <c r="Z402" t="n">
        <v>187</v>
      </c>
      <c r="AA402" t="n">
        <v>207</v>
      </c>
      <c r="AB402" t="n">
        <v>1</v>
      </c>
      <c r="AC402" t="n">
        <v>1</v>
      </c>
      <c r="AD402" t="n">
        <v>8</v>
      </c>
      <c r="AE402" t="n">
        <v>8</v>
      </c>
      <c r="AF402" t="n">
        <v>0</v>
      </c>
      <c r="AG402" t="n">
        <v>0</v>
      </c>
      <c r="AH402" t="n">
        <v>2</v>
      </c>
      <c r="AI402" t="n">
        <v>2</v>
      </c>
      <c r="AJ402" t="n">
        <v>7</v>
      </c>
      <c r="AK402" t="n">
        <v>7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HYPERLINK("http://catalog.hathitrust.org/Record/002212789","HathiTrust Record")</f>
        <v/>
      </c>
      <c r="AS402">
        <f>HYPERLINK("https://creighton-primo.hosted.exlibrisgroup.com/primo-explore/search?tab=default_tab&amp;search_scope=EVERYTHING&amp;vid=01CRU&amp;lang=en_US&amp;offset=0&amp;query=any,contains,991001261239702656","Catalog Record")</f>
        <v/>
      </c>
      <c r="AT402">
        <f>HYPERLINK("http://www.worldcat.org/oclc/17768446","WorldCat Record")</f>
        <v/>
      </c>
      <c r="AU402" t="inlineStr">
        <is>
          <t>16548396:eng</t>
        </is>
      </c>
      <c r="AV402" t="inlineStr">
        <is>
          <t>17768446</t>
        </is>
      </c>
      <c r="AW402" t="inlineStr">
        <is>
          <t>991001261239702656</t>
        </is>
      </c>
      <c r="AX402" t="inlineStr">
        <is>
          <t>991001261239702656</t>
        </is>
      </c>
      <c r="AY402" t="inlineStr">
        <is>
          <t>2259049220002656</t>
        </is>
      </c>
      <c r="AZ402" t="inlineStr">
        <is>
          <t>BOOK</t>
        </is>
      </c>
      <c r="BB402" t="inlineStr">
        <is>
          <t>9780866567992</t>
        </is>
      </c>
      <c r="BC402" t="inlineStr">
        <is>
          <t>32285000117381</t>
        </is>
      </c>
      <c r="BD402" t="inlineStr">
        <is>
          <t>893903362</t>
        </is>
      </c>
    </row>
    <row r="403">
      <c r="A403" t="inlineStr">
        <is>
          <t>No</t>
        </is>
      </c>
      <c r="B403" t="inlineStr">
        <is>
          <t>HV5824.Y68 M53 1994</t>
        </is>
      </c>
      <c r="C403" t="inlineStr">
        <is>
          <t>0                      HV 5824000Y  68                 M  53          1994</t>
        </is>
      </c>
      <c r="D403" t="inlineStr">
        <is>
          <t>Drug and alcohol abuse : the authoritative guide for parents, teachers, and counselors / H. Thomas Milhorn, Jr.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Milhorn, Howard T.</t>
        </is>
      </c>
      <c r="L403" t="inlineStr">
        <is>
          <t>Massachusetts : Perseus Books, c1994.</t>
        </is>
      </c>
      <c r="M403" t="inlineStr">
        <is>
          <t>1994</t>
        </is>
      </c>
      <c r="O403" t="inlineStr">
        <is>
          <t>eng</t>
        </is>
      </c>
      <c r="P403" t="inlineStr">
        <is>
          <t>mau</t>
        </is>
      </c>
      <c r="R403" t="inlineStr">
        <is>
          <t xml:space="preserve">HV </t>
        </is>
      </c>
      <c r="S403" t="n">
        <v>8</v>
      </c>
      <c r="T403" t="n">
        <v>8</v>
      </c>
      <c r="U403" t="inlineStr">
        <is>
          <t>2008-02-19</t>
        </is>
      </c>
      <c r="V403" t="inlineStr">
        <is>
          <t>2008-02-19</t>
        </is>
      </c>
      <c r="W403" t="inlineStr">
        <is>
          <t>2002-11-19</t>
        </is>
      </c>
      <c r="X403" t="inlineStr">
        <is>
          <t>2002-11-19</t>
        </is>
      </c>
      <c r="Y403" t="n">
        <v>14</v>
      </c>
      <c r="Z403" t="n">
        <v>14</v>
      </c>
      <c r="AA403" t="n">
        <v>627</v>
      </c>
      <c r="AB403" t="n">
        <v>1</v>
      </c>
      <c r="AC403" t="n">
        <v>5</v>
      </c>
      <c r="AD403" t="n">
        <v>0</v>
      </c>
      <c r="AE403" t="n">
        <v>10</v>
      </c>
      <c r="AF403" t="n">
        <v>0</v>
      </c>
      <c r="AG403" t="n">
        <v>4</v>
      </c>
      <c r="AH403" t="n">
        <v>0</v>
      </c>
      <c r="AI403" t="n">
        <v>1</v>
      </c>
      <c r="AJ403" t="n">
        <v>0</v>
      </c>
      <c r="AK403" t="n">
        <v>4</v>
      </c>
      <c r="AL403" t="n">
        <v>0</v>
      </c>
      <c r="AM403" t="n">
        <v>3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HYPERLINK("https://creighton-primo.hosted.exlibrisgroup.com/primo-explore/search?tab=default_tab&amp;search_scope=EVERYTHING&amp;vid=01CRU&amp;lang=en_US&amp;offset=0&amp;query=any,contains,991003946389702656","Catalog Record")</f>
        <v/>
      </c>
      <c r="AT403">
        <f>HYPERLINK("http://www.worldcat.org/oclc/44988862","WorldCat Record")</f>
        <v/>
      </c>
      <c r="AU403" t="inlineStr">
        <is>
          <t>836736294:eng</t>
        </is>
      </c>
      <c r="AV403" t="inlineStr">
        <is>
          <t>44988862</t>
        </is>
      </c>
      <c r="AW403" t="inlineStr">
        <is>
          <t>991003946389702656</t>
        </is>
      </c>
      <c r="AX403" t="inlineStr">
        <is>
          <t>991003946389702656</t>
        </is>
      </c>
      <c r="AY403" t="inlineStr">
        <is>
          <t>2272742310002656</t>
        </is>
      </c>
      <c r="AZ403" t="inlineStr">
        <is>
          <t>BOOK</t>
        </is>
      </c>
      <c r="BB403" t="inlineStr">
        <is>
          <t>9780306446405</t>
        </is>
      </c>
      <c r="BC403" t="inlineStr">
        <is>
          <t>32285004664586</t>
        </is>
      </c>
      <c r="BD403" t="inlineStr">
        <is>
          <t>893246969</t>
        </is>
      </c>
    </row>
    <row r="404">
      <c r="A404" t="inlineStr">
        <is>
          <t>No</t>
        </is>
      </c>
      <c r="B404" t="inlineStr">
        <is>
          <t>HV5825 .B74</t>
        </is>
      </c>
      <c r="C404" t="inlineStr">
        <is>
          <t>0                      HV 5825000B  74</t>
        </is>
      </c>
      <c r="D404" t="inlineStr">
        <is>
          <t>Drugs &amp; youth : medical, psychiatric, and legal facts / [by] Joseph H. Brenner, Robert Coles [and] Dermot Meagher.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Brenner, Joseph H., 1924-</t>
        </is>
      </c>
      <c r="L404" t="inlineStr">
        <is>
          <t>New York : Liveright, [1970]</t>
        </is>
      </c>
      <c r="M404" t="inlineStr">
        <is>
          <t>1970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HV </t>
        </is>
      </c>
      <c r="S404" t="n">
        <v>12</v>
      </c>
      <c r="T404" t="n">
        <v>12</v>
      </c>
      <c r="U404" t="inlineStr">
        <is>
          <t>1995-03-23</t>
        </is>
      </c>
      <c r="V404" t="inlineStr">
        <is>
          <t>1995-03-23</t>
        </is>
      </c>
      <c r="W404" t="inlineStr">
        <is>
          <t>1992-05-05</t>
        </is>
      </c>
      <c r="X404" t="inlineStr">
        <is>
          <t>1992-05-05</t>
        </is>
      </c>
      <c r="Y404" t="n">
        <v>858</v>
      </c>
      <c r="Z404" t="n">
        <v>779</v>
      </c>
      <c r="AA404" t="n">
        <v>795</v>
      </c>
      <c r="AB404" t="n">
        <v>10</v>
      </c>
      <c r="AC404" t="n">
        <v>10</v>
      </c>
      <c r="AD404" t="n">
        <v>27</v>
      </c>
      <c r="AE404" t="n">
        <v>27</v>
      </c>
      <c r="AF404" t="n">
        <v>10</v>
      </c>
      <c r="AG404" t="n">
        <v>10</v>
      </c>
      <c r="AH404" t="n">
        <v>4</v>
      </c>
      <c r="AI404" t="n">
        <v>4</v>
      </c>
      <c r="AJ404" t="n">
        <v>12</v>
      </c>
      <c r="AK404" t="n">
        <v>12</v>
      </c>
      <c r="AL404" t="n">
        <v>5</v>
      </c>
      <c r="AM404" t="n">
        <v>5</v>
      </c>
      <c r="AN404" t="n">
        <v>2</v>
      </c>
      <c r="AO404" t="n">
        <v>2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HYPERLINK("https://creighton-primo.hosted.exlibrisgroup.com/primo-explore/search?tab=default_tab&amp;search_scope=EVERYTHING&amp;vid=01CRU&amp;lang=en_US&amp;offset=0&amp;query=any,contains,991000523319702656","Catalog Record")</f>
        <v/>
      </c>
      <c r="AT404">
        <f>HYPERLINK("http://www.worldcat.org/oclc/88652","WorldCat Record")</f>
        <v/>
      </c>
      <c r="AU404" t="inlineStr">
        <is>
          <t>1089566313:eng</t>
        </is>
      </c>
      <c r="AV404" t="inlineStr">
        <is>
          <t>88652</t>
        </is>
      </c>
      <c r="AW404" t="inlineStr">
        <is>
          <t>991000523319702656</t>
        </is>
      </c>
      <c r="AX404" t="inlineStr">
        <is>
          <t>991000523319702656</t>
        </is>
      </c>
      <c r="AY404" t="inlineStr">
        <is>
          <t>2269434900002656</t>
        </is>
      </c>
      <c r="AZ404" t="inlineStr">
        <is>
          <t>BOOK</t>
        </is>
      </c>
      <c r="BB404" t="inlineStr">
        <is>
          <t>9780871405012</t>
        </is>
      </c>
      <c r="BC404" t="inlineStr">
        <is>
          <t>32285001092849</t>
        </is>
      </c>
      <c r="BD404" t="inlineStr">
        <is>
          <t>893333547</t>
        </is>
      </c>
    </row>
    <row r="405">
      <c r="A405" t="inlineStr">
        <is>
          <t>No</t>
        </is>
      </c>
      <c r="B405" t="inlineStr">
        <is>
          <t>HV5825 .D778 1971</t>
        </is>
      </c>
      <c r="C405" t="inlineStr">
        <is>
          <t>0                      HV 5825000D  778         1971</t>
        </is>
      </c>
      <c r="D405" t="inlineStr">
        <is>
          <t>Drugs.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L405" t="inlineStr">
        <is>
          <t>New York, The New York Times, 1971.</t>
        </is>
      </c>
      <c r="M405" t="inlineStr">
        <is>
          <t>1971</t>
        </is>
      </c>
      <c r="O405" t="inlineStr">
        <is>
          <t>eng</t>
        </is>
      </c>
      <c r="P405" t="inlineStr">
        <is>
          <t>nyu</t>
        </is>
      </c>
      <c r="Q405" t="inlineStr">
        <is>
          <t>The Great contemporary issues</t>
        </is>
      </c>
      <c r="R405" t="inlineStr">
        <is>
          <t xml:space="preserve">HV </t>
        </is>
      </c>
      <c r="S405" t="n">
        <v>25</v>
      </c>
      <c r="T405" t="n">
        <v>25</v>
      </c>
      <c r="U405" t="inlineStr">
        <is>
          <t>2008-04-10</t>
        </is>
      </c>
      <c r="V405" t="inlineStr">
        <is>
          <t>2008-04-10</t>
        </is>
      </c>
      <c r="W405" t="inlineStr">
        <is>
          <t>1991-09-26</t>
        </is>
      </c>
      <c r="X405" t="inlineStr">
        <is>
          <t>1991-09-26</t>
        </is>
      </c>
      <c r="Y405" t="n">
        <v>256</v>
      </c>
      <c r="Z405" t="n">
        <v>237</v>
      </c>
      <c r="AA405" t="n">
        <v>239</v>
      </c>
      <c r="AB405" t="n">
        <v>2</v>
      </c>
      <c r="AC405" t="n">
        <v>2</v>
      </c>
      <c r="AD405" t="n">
        <v>7</v>
      </c>
      <c r="AE405" t="n">
        <v>7</v>
      </c>
      <c r="AF405" t="n">
        <v>1</v>
      </c>
      <c r="AG405" t="n">
        <v>1</v>
      </c>
      <c r="AH405" t="n">
        <v>0</v>
      </c>
      <c r="AI405" t="n">
        <v>0</v>
      </c>
      <c r="AJ405" t="n">
        <v>4</v>
      </c>
      <c r="AK405" t="n">
        <v>4</v>
      </c>
      <c r="AL405" t="n">
        <v>1</v>
      </c>
      <c r="AM405" t="n">
        <v>1</v>
      </c>
      <c r="AN405" t="n">
        <v>1</v>
      </c>
      <c r="AO405" t="n">
        <v>1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HYPERLINK("http://catalog.hathitrust.org/Record/001579285","HathiTrust Record")</f>
        <v/>
      </c>
      <c r="AS405">
        <f>HYPERLINK("https://creighton-primo.hosted.exlibrisgroup.com/primo-explore/search?tab=default_tab&amp;search_scope=EVERYTHING&amp;vid=01CRU&amp;lang=en_US&amp;offset=0&amp;query=any,contains,991002434499702656","Catalog Record")</f>
        <v/>
      </c>
      <c r="AT405">
        <f>HYPERLINK("http://www.worldcat.org/oclc/348395","WorldCat Record")</f>
        <v/>
      </c>
      <c r="AU405" t="inlineStr">
        <is>
          <t>10278499474:eng</t>
        </is>
      </c>
      <c r="AV405" t="inlineStr">
        <is>
          <t>348395</t>
        </is>
      </c>
      <c r="AW405" t="inlineStr">
        <is>
          <t>991002434499702656</t>
        </is>
      </c>
      <c r="AX405" t="inlineStr">
        <is>
          <t>991002434499702656</t>
        </is>
      </c>
      <c r="AY405" t="inlineStr">
        <is>
          <t>2271074950002656</t>
        </is>
      </c>
      <c r="AZ405" t="inlineStr">
        <is>
          <t>BOOK</t>
        </is>
      </c>
      <c r="BC405" t="inlineStr">
        <is>
          <t>32285000716117</t>
        </is>
      </c>
      <c r="BD405" t="inlineStr">
        <is>
          <t>893421357</t>
        </is>
      </c>
    </row>
    <row r="406">
      <c r="A406" t="inlineStr">
        <is>
          <t>No</t>
        </is>
      </c>
      <c r="B406" t="inlineStr">
        <is>
          <t>HV5825 .H43</t>
        </is>
      </c>
      <c r="C406" t="inlineStr">
        <is>
          <t>0                      HV 5825000H  43</t>
        </is>
      </c>
      <c r="D406" t="inlineStr">
        <is>
          <t>Drugs and minority oppression / John Helmer.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Helmer, John.</t>
        </is>
      </c>
      <c r="L406" t="inlineStr">
        <is>
          <t>New York : Seabury Press, [1975]</t>
        </is>
      </c>
      <c r="M406" t="inlineStr">
        <is>
          <t>1975</t>
        </is>
      </c>
      <c r="O406" t="inlineStr">
        <is>
          <t>eng</t>
        </is>
      </c>
      <c r="P406" t="inlineStr">
        <is>
          <t>nyu</t>
        </is>
      </c>
      <c r="Q406" t="inlineStr">
        <is>
          <t>A Continuum book</t>
        </is>
      </c>
      <c r="R406" t="inlineStr">
        <is>
          <t xml:space="preserve">HV </t>
        </is>
      </c>
      <c r="S406" t="n">
        <v>7</v>
      </c>
      <c r="T406" t="n">
        <v>7</v>
      </c>
      <c r="U406" t="inlineStr">
        <is>
          <t>2008-03-16</t>
        </is>
      </c>
      <c r="V406" t="inlineStr">
        <is>
          <t>2008-03-16</t>
        </is>
      </c>
      <c r="W406" t="inlineStr">
        <is>
          <t>1991-12-18</t>
        </is>
      </c>
      <c r="X406" t="inlineStr">
        <is>
          <t>1991-12-18</t>
        </is>
      </c>
      <c r="Y406" t="n">
        <v>574</v>
      </c>
      <c r="Z406" t="n">
        <v>519</v>
      </c>
      <c r="AA406" t="n">
        <v>526</v>
      </c>
      <c r="AB406" t="n">
        <v>5</v>
      </c>
      <c r="AC406" t="n">
        <v>5</v>
      </c>
      <c r="AD406" t="n">
        <v>20</v>
      </c>
      <c r="AE406" t="n">
        <v>20</v>
      </c>
      <c r="AF406" t="n">
        <v>6</v>
      </c>
      <c r="AG406" t="n">
        <v>6</v>
      </c>
      <c r="AH406" t="n">
        <v>6</v>
      </c>
      <c r="AI406" t="n">
        <v>6</v>
      </c>
      <c r="AJ406" t="n">
        <v>6</v>
      </c>
      <c r="AK406" t="n">
        <v>6</v>
      </c>
      <c r="AL406" t="n">
        <v>4</v>
      </c>
      <c r="AM406" t="n">
        <v>4</v>
      </c>
      <c r="AN406" t="n">
        <v>1</v>
      </c>
      <c r="AO406" t="n">
        <v>1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HYPERLINK("http://catalog.hathitrust.org/Record/000042789","HathiTrust Record")</f>
        <v/>
      </c>
      <c r="AS406">
        <f>HYPERLINK("https://creighton-primo.hosted.exlibrisgroup.com/primo-explore/search?tab=default_tab&amp;search_scope=EVERYTHING&amp;vid=01CRU&amp;lang=en_US&amp;offset=0&amp;query=any,contains,991003600689702656","Catalog Record")</f>
        <v/>
      </c>
      <c r="AT406">
        <f>HYPERLINK("http://www.worldcat.org/oclc/1177735","WorldCat Record")</f>
        <v/>
      </c>
      <c r="AU406" t="inlineStr">
        <is>
          <t>2125658:eng</t>
        </is>
      </c>
      <c r="AV406" t="inlineStr">
        <is>
          <t>1177735</t>
        </is>
      </c>
      <c r="AW406" t="inlineStr">
        <is>
          <t>991003600689702656</t>
        </is>
      </c>
      <c r="AX406" t="inlineStr">
        <is>
          <t>991003600689702656</t>
        </is>
      </c>
      <c r="AY406" t="inlineStr">
        <is>
          <t>2264508480002656</t>
        </is>
      </c>
      <c r="AZ406" t="inlineStr">
        <is>
          <t>BOOK</t>
        </is>
      </c>
      <c r="BB406" t="inlineStr">
        <is>
          <t>9780816492169</t>
        </is>
      </c>
      <c r="BC406" t="inlineStr">
        <is>
          <t>32285000896117</t>
        </is>
      </c>
      <c r="BD406" t="inlineStr">
        <is>
          <t>893416558</t>
        </is>
      </c>
    </row>
    <row r="407">
      <c r="A407" t="inlineStr">
        <is>
          <t>No</t>
        </is>
      </c>
      <c r="B407" t="inlineStr">
        <is>
          <t>HV5825 .N445 1998</t>
        </is>
      </c>
      <c r="C407" t="inlineStr">
        <is>
          <t>0                      HV 5825000N  445         1998</t>
        </is>
      </c>
      <c r="D407" t="inlineStr">
        <is>
          <t>The new war on drugs : symbolic politics and criminal justice policy / edited by Eric L. Jenson, Jurg Gerber.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Highland Heights, KY : Academy of Criminal Justice Sciences ; Cincinnati, OH : Anderson Publishing Co., c1998.</t>
        </is>
      </c>
      <c r="M407" t="inlineStr">
        <is>
          <t>1998</t>
        </is>
      </c>
      <c r="O407" t="inlineStr">
        <is>
          <t>eng</t>
        </is>
      </c>
      <c r="P407" t="inlineStr">
        <is>
          <t>ohu</t>
        </is>
      </c>
      <c r="Q407" t="inlineStr">
        <is>
          <t>ACJS/Anderson monograph series</t>
        </is>
      </c>
      <c r="R407" t="inlineStr">
        <is>
          <t xml:space="preserve">HV </t>
        </is>
      </c>
      <c r="S407" t="n">
        <v>24</v>
      </c>
      <c r="T407" t="n">
        <v>24</v>
      </c>
      <c r="U407" t="inlineStr">
        <is>
          <t>2009-11-18</t>
        </is>
      </c>
      <c r="V407" t="inlineStr">
        <is>
          <t>2009-11-18</t>
        </is>
      </c>
      <c r="W407" t="inlineStr">
        <is>
          <t>1999-01-21</t>
        </is>
      </c>
      <c r="X407" t="inlineStr">
        <is>
          <t>1999-01-21</t>
        </is>
      </c>
      <c r="Y407" t="n">
        <v>135</v>
      </c>
      <c r="Z407" t="n">
        <v>116</v>
      </c>
      <c r="AA407" t="n">
        <v>116</v>
      </c>
      <c r="AB407" t="n">
        <v>2</v>
      </c>
      <c r="AC407" t="n">
        <v>2</v>
      </c>
      <c r="AD407" t="n">
        <v>6</v>
      </c>
      <c r="AE407" t="n">
        <v>6</v>
      </c>
      <c r="AF407" t="n">
        <v>2</v>
      </c>
      <c r="AG407" t="n">
        <v>2</v>
      </c>
      <c r="AH407" t="n">
        <v>0</v>
      </c>
      <c r="AI407" t="n">
        <v>0</v>
      </c>
      <c r="AJ407" t="n">
        <v>3</v>
      </c>
      <c r="AK407" t="n">
        <v>3</v>
      </c>
      <c r="AL407" t="n">
        <v>1</v>
      </c>
      <c r="AM407" t="n">
        <v>1</v>
      </c>
      <c r="AN407" t="n">
        <v>1</v>
      </c>
      <c r="AO407" t="n">
        <v>1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HYPERLINK("https://creighton-primo.hosted.exlibrisgroup.com/primo-explore/search?tab=default_tab&amp;search_scope=EVERYTHING&amp;vid=01CRU&amp;lang=en_US&amp;offset=0&amp;query=any,contains,991002902649702656","Catalog Record")</f>
        <v/>
      </c>
      <c r="AT407">
        <f>HYPERLINK("http://www.worldcat.org/oclc/38277183","WorldCat Record")</f>
        <v/>
      </c>
      <c r="AU407" t="inlineStr">
        <is>
          <t>355033235:eng</t>
        </is>
      </c>
      <c r="AV407" t="inlineStr">
        <is>
          <t>38277183</t>
        </is>
      </c>
      <c r="AW407" t="inlineStr">
        <is>
          <t>991002902649702656</t>
        </is>
      </c>
      <c r="AX407" t="inlineStr">
        <is>
          <t>991002902649702656</t>
        </is>
      </c>
      <c r="AY407" t="inlineStr">
        <is>
          <t>2271065140002656</t>
        </is>
      </c>
      <c r="AZ407" t="inlineStr">
        <is>
          <t>BOOK</t>
        </is>
      </c>
      <c r="BB407" t="inlineStr">
        <is>
          <t>9780870844386</t>
        </is>
      </c>
      <c r="BC407" t="inlineStr">
        <is>
          <t>32285003514584</t>
        </is>
      </c>
      <c r="BD407" t="inlineStr">
        <is>
          <t>893610445</t>
        </is>
      </c>
    </row>
    <row r="408">
      <c r="A408" t="inlineStr">
        <is>
          <t>No</t>
        </is>
      </c>
      <c r="B408" t="inlineStr">
        <is>
          <t>HV5825 .O93 1985</t>
        </is>
      </c>
      <c r="C408" t="inlineStr">
        <is>
          <t>0                      HV 5825000O  93          1985</t>
        </is>
      </c>
      <c r="D408" t="inlineStr">
        <is>
          <t>Substance abusers, criminality and aftercare : why prisons don't work / by Robert Mason Owings.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Owings, Robert Mason.</t>
        </is>
      </c>
      <c r="L408" t="inlineStr">
        <is>
          <t>San Pedro, Calif. : Lifeline Publishers, 1985, c1980.</t>
        </is>
      </c>
      <c r="M408" t="inlineStr">
        <is>
          <t>1985</t>
        </is>
      </c>
      <c r="O408" t="inlineStr">
        <is>
          <t>eng</t>
        </is>
      </c>
      <c r="P408" t="inlineStr">
        <is>
          <t>cau</t>
        </is>
      </c>
      <c r="R408" t="inlineStr">
        <is>
          <t xml:space="preserve">HV </t>
        </is>
      </c>
      <c r="S408" t="n">
        <v>18</v>
      </c>
      <c r="T408" t="n">
        <v>18</v>
      </c>
      <c r="U408" t="inlineStr">
        <is>
          <t>2008-10-01</t>
        </is>
      </c>
      <c r="V408" t="inlineStr">
        <is>
          <t>2008-10-01</t>
        </is>
      </c>
      <c r="W408" t="inlineStr">
        <is>
          <t>1992-07-07</t>
        </is>
      </c>
      <c r="X408" t="inlineStr">
        <is>
          <t>1992-07-07</t>
        </is>
      </c>
      <c r="Y408" t="n">
        <v>45</v>
      </c>
      <c r="Z408" t="n">
        <v>45</v>
      </c>
      <c r="AA408" t="n">
        <v>46</v>
      </c>
      <c r="AB408" t="n">
        <v>1</v>
      </c>
      <c r="AC408" t="n">
        <v>1</v>
      </c>
      <c r="AD408" t="n">
        <v>2</v>
      </c>
      <c r="AE408" t="n">
        <v>2</v>
      </c>
      <c r="AF408" t="n">
        <v>0</v>
      </c>
      <c r="AG408" t="n">
        <v>0</v>
      </c>
      <c r="AH408" t="n">
        <v>0</v>
      </c>
      <c r="AI408" t="n">
        <v>0</v>
      </c>
      <c r="AJ408" t="n">
        <v>2</v>
      </c>
      <c r="AK408" t="n">
        <v>2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HYPERLINK("https://creighton-primo.hosted.exlibrisgroup.com/primo-explore/search?tab=default_tab&amp;search_scope=EVERYTHING&amp;vid=01CRU&amp;lang=en_US&amp;offset=0&amp;query=any,contains,991000815319702656","Catalog Record")</f>
        <v/>
      </c>
      <c r="AT408">
        <f>HYPERLINK("http://www.worldcat.org/oclc/13356865","WorldCat Record")</f>
        <v/>
      </c>
      <c r="AU408" t="inlineStr">
        <is>
          <t>6831404:eng</t>
        </is>
      </c>
      <c r="AV408" t="inlineStr">
        <is>
          <t>13356865</t>
        </is>
      </c>
      <c r="AW408" t="inlineStr">
        <is>
          <t>991000815319702656</t>
        </is>
      </c>
      <c r="AX408" t="inlineStr">
        <is>
          <t>991000815319702656</t>
        </is>
      </c>
      <c r="AY408" t="inlineStr">
        <is>
          <t>2266718500002656</t>
        </is>
      </c>
      <c r="AZ408" t="inlineStr">
        <is>
          <t>BOOK</t>
        </is>
      </c>
      <c r="BB408" t="inlineStr">
        <is>
          <t>9780930823016</t>
        </is>
      </c>
      <c r="BC408" t="inlineStr">
        <is>
          <t>32285001181238</t>
        </is>
      </c>
      <c r="BD408" t="inlineStr">
        <is>
          <t>893690063</t>
        </is>
      </c>
    </row>
    <row r="409">
      <c r="A409" t="inlineStr">
        <is>
          <t>No</t>
        </is>
      </c>
      <c r="B409" t="inlineStr">
        <is>
          <t>HV5825 .S396 1991</t>
        </is>
      </c>
      <c r="C409" t="inlineStr">
        <is>
          <t>0                      HV 5825000S  396         1991</t>
        </is>
      </c>
      <c r="D409" t="inlineStr">
        <is>
          <t>Searching for alternatives : drug-control policy in the United States / edited and with an introduction by Melvyn B. Krauss and Edward P. Lazear.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Stanford, Calif. : Hoover Institution Press, Stanford University, c1991.</t>
        </is>
      </c>
      <c r="M409" t="inlineStr">
        <is>
          <t>1991</t>
        </is>
      </c>
      <c r="O409" t="inlineStr">
        <is>
          <t>eng</t>
        </is>
      </c>
      <c r="P409" t="inlineStr">
        <is>
          <t>cau</t>
        </is>
      </c>
      <c r="R409" t="inlineStr">
        <is>
          <t xml:space="preserve">HV </t>
        </is>
      </c>
      <c r="S409" t="n">
        <v>30</v>
      </c>
      <c r="T409" t="n">
        <v>30</v>
      </c>
      <c r="U409" t="inlineStr">
        <is>
          <t>2010-04-20</t>
        </is>
      </c>
      <c r="V409" t="inlineStr">
        <is>
          <t>2010-04-20</t>
        </is>
      </c>
      <c r="W409" t="inlineStr">
        <is>
          <t>1997-11-17</t>
        </is>
      </c>
      <c r="X409" t="inlineStr">
        <is>
          <t>1997-11-17</t>
        </is>
      </c>
      <c r="Y409" t="n">
        <v>507</v>
      </c>
      <c r="Z409" t="n">
        <v>458</v>
      </c>
      <c r="AA409" t="n">
        <v>482</v>
      </c>
      <c r="AB409" t="n">
        <v>4</v>
      </c>
      <c r="AC409" t="n">
        <v>4</v>
      </c>
      <c r="AD409" t="n">
        <v>27</v>
      </c>
      <c r="AE409" t="n">
        <v>28</v>
      </c>
      <c r="AF409" t="n">
        <v>7</v>
      </c>
      <c r="AG409" t="n">
        <v>8</v>
      </c>
      <c r="AH409" t="n">
        <v>7</v>
      </c>
      <c r="AI409" t="n">
        <v>7</v>
      </c>
      <c r="AJ409" t="n">
        <v>9</v>
      </c>
      <c r="AK409" t="n">
        <v>9</v>
      </c>
      <c r="AL409" t="n">
        <v>3</v>
      </c>
      <c r="AM409" t="n">
        <v>3</v>
      </c>
      <c r="AN409" t="n">
        <v>5</v>
      </c>
      <c r="AO409" t="n">
        <v>5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HYPERLINK("https://creighton-primo.hosted.exlibrisgroup.com/primo-explore/search?tab=default_tab&amp;search_scope=EVERYTHING&amp;vid=01CRU&amp;lang=en_US&amp;offset=0&amp;query=any,contains,991001897539702656","Catalog Record")</f>
        <v/>
      </c>
      <c r="AT409">
        <f>HYPERLINK("http://www.worldcat.org/oclc/23973293","WorldCat Record")</f>
        <v/>
      </c>
      <c r="AU409" t="inlineStr">
        <is>
          <t>366745129:eng</t>
        </is>
      </c>
      <c r="AV409" t="inlineStr">
        <is>
          <t>23973293</t>
        </is>
      </c>
      <c r="AW409" t="inlineStr">
        <is>
          <t>991001897539702656</t>
        </is>
      </c>
      <c r="AX409" t="inlineStr">
        <is>
          <t>991001897539702656</t>
        </is>
      </c>
      <c r="AY409" t="inlineStr">
        <is>
          <t>2259234280002656</t>
        </is>
      </c>
      <c r="AZ409" t="inlineStr">
        <is>
          <t>BOOK</t>
        </is>
      </c>
      <c r="BB409" t="inlineStr">
        <is>
          <t>9780817991418</t>
        </is>
      </c>
      <c r="BC409" t="inlineStr">
        <is>
          <t>32285003270641</t>
        </is>
      </c>
      <c r="BD409" t="inlineStr">
        <is>
          <t>893785475</t>
        </is>
      </c>
    </row>
    <row r="410">
      <c r="A410" t="inlineStr">
        <is>
          <t>No</t>
        </is>
      </c>
      <c r="B410" t="inlineStr">
        <is>
          <t>HV5825 .S449 1988</t>
        </is>
      </c>
      <c r="C410" t="inlineStr">
        <is>
          <t>0                      HV 5825000S  449         1988</t>
        </is>
      </c>
      <c r="D410" t="inlineStr">
        <is>
          <t>Desperados : Latin drug lords, U.S. lawmen, and the war America can't win / Elaine Shannon.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Shannon, Elaine.</t>
        </is>
      </c>
      <c r="L410" t="inlineStr">
        <is>
          <t>New York : Viking, 1988.</t>
        </is>
      </c>
      <c r="M410" t="inlineStr">
        <is>
          <t>1988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HV </t>
        </is>
      </c>
      <c r="S410" t="n">
        <v>12</v>
      </c>
      <c r="T410" t="n">
        <v>12</v>
      </c>
      <c r="U410" t="inlineStr">
        <is>
          <t>2010-07-20</t>
        </is>
      </c>
      <c r="V410" t="inlineStr">
        <is>
          <t>2010-07-20</t>
        </is>
      </c>
      <c r="W410" t="inlineStr">
        <is>
          <t>1990-05-03</t>
        </is>
      </c>
      <c r="X410" t="inlineStr">
        <is>
          <t>1990-05-03</t>
        </is>
      </c>
      <c r="Y410" t="n">
        <v>919</v>
      </c>
      <c r="Z410" t="n">
        <v>870</v>
      </c>
      <c r="AA410" t="n">
        <v>979</v>
      </c>
      <c r="AB410" t="n">
        <v>3</v>
      </c>
      <c r="AC410" t="n">
        <v>5</v>
      </c>
      <c r="AD410" t="n">
        <v>26</v>
      </c>
      <c r="AE410" t="n">
        <v>26</v>
      </c>
      <c r="AF410" t="n">
        <v>8</v>
      </c>
      <c r="AG410" t="n">
        <v>8</v>
      </c>
      <c r="AH410" t="n">
        <v>6</v>
      </c>
      <c r="AI410" t="n">
        <v>6</v>
      </c>
      <c r="AJ410" t="n">
        <v>18</v>
      </c>
      <c r="AK410" t="n">
        <v>18</v>
      </c>
      <c r="AL410" t="n">
        <v>2</v>
      </c>
      <c r="AM410" t="n">
        <v>2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HYPERLINK("https://creighton-primo.hosted.exlibrisgroup.com/primo-explore/search?tab=default_tab&amp;search_scope=EVERYTHING&amp;vid=01CRU&amp;lang=en_US&amp;offset=0&amp;query=any,contains,991001227719702656","Catalog Record")</f>
        <v/>
      </c>
      <c r="AT410">
        <f>HYPERLINK("http://www.worldcat.org/oclc/17510057","WorldCat Record")</f>
        <v/>
      </c>
      <c r="AU410" t="inlineStr">
        <is>
          <t>15554435:eng</t>
        </is>
      </c>
      <c r="AV410" t="inlineStr">
        <is>
          <t>17510057</t>
        </is>
      </c>
      <c r="AW410" t="inlineStr">
        <is>
          <t>991001227719702656</t>
        </is>
      </c>
      <c r="AX410" t="inlineStr">
        <is>
          <t>991001227719702656</t>
        </is>
      </c>
      <c r="AY410" t="inlineStr">
        <is>
          <t>2257283990002656</t>
        </is>
      </c>
      <c r="AZ410" t="inlineStr">
        <is>
          <t>BOOK</t>
        </is>
      </c>
      <c r="BB410" t="inlineStr">
        <is>
          <t>9780670810260</t>
        </is>
      </c>
      <c r="BC410" t="inlineStr">
        <is>
          <t>32285000148600</t>
        </is>
      </c>
      <c r="BD410" t="inlineStr">
        <is>
          <t>893803461</t>
        </is>
      </c>
    </row>
    <row r="411">
      <c r="A411" t="inlineStr">
        <is>
          <t>No</t>
        </is>
      </c>
      <c r="B411" t="inlineStr">
        <is>
          <t>HV5825 .S4497 1994</t>
        </is>
      </c>
      <c r="C411" t="inlineStr">
        <is>
          <t>0                      HV 5825000S  4497        1994</t>
        </is>
      </c>
      <c r="D411" t="inlineStr">
        <is>
          <t>The dilemma of drug policy in the United States / Elaine B. Sharp.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Sharp, Elaine B.</t>
        </is>
      </c>
      <c r="L411" t="inlineStr">
        <is>
          <t>New York : HarperCollins College Publishers, c1994.</t>
        </is>
      </c>
      <c r="M411" t="inlineStr">
        <is>
          <t>1994</t>
        </is>
      </c>
      <c r="O411" t="inlineStr">
        <is>
          <t>eng</t>
        </is>
      </c>
      <c r="P411" t="inlineStr">
        <is>
          <t>nyu</t>
        </is>
      </c>
      <c r="Q411" t="inlineStr">
        <is>
          <t>The HarperCollins public policy series</t>
        </is>
      </c>
      <c r="R411" t="inlineStr">
        <is>
          <t xml:space="preserve">HV </t>
        </is>
      </c>
      <c r="S411" t="n">
        <v>27</v>
      </c>
      <c r="T411" t="n">
        <v>27</v>
      </c>
      <c r="U411" t="inlineStr">
        <is>
          <t>2006-12-03</t>
        </is>
      </c>
      <c r="V411" t="inlineStr">
        <is>
          <t>2006-12-03</t>
        </is>
      </c>
      <c r="W411" t="inlineStr">
        <is>
          <t>1994-09-13</t>
        </is>
      </c>
      <c r="X411" t="inlineStr">
        <is>
          <t>1994-09-13</t>
        </is>
      </c>
      <c r="Y411" t="n">
        <v>186</v>
      </c>
      <c r="Z411" t="n">
        <v>159</v>
      </c>
      <c r="AA411" t="n">
        <v>160</v>
      </c>
      <c r="AB411" t="n">
        <v>1</v>
      </c>
      <c r="AC411" t="n">
        <v>1</v>
      </c>
      <c r="AD411" t="n">
        <v>11</v>
      </c>
      <c r="AE411" t="n">
        <v>11</v>
      </c>
      <c r="AF411" t="n">
        <v>2</v>
      </c>
      <c r="AG411" t="n">
        <v>2</v>
      </c>
      <c r="AH411" t="n">
        <v>3</v>
      </c>
      <c r="AI411" t="n">
        <v>3</v>
      </c>
      <c r="AJ411" t="n">
        <v>6</v>
      </c>
      <c r="AK411" t="n">
        <v>6</v>
      </c>
      <c r="AL411" t="n">
        <v>0</v>
      </c>
      <c r="AM411" t="n">
        <v>0</v>
      </c>
      <c r="AN411" t="n">
        <v>3</v>
      </c>
      <c r="AO411" t="n">
        <v>3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HYPERLINK("http://catalog.hathitrust.org/Record/007578742","HathiTrust Record")</f>
        <v/>
      </c>
      <c r="AS411">
        <f>HYPERLINK("https://creighton-primo.hosted.exlibrisgroup.com/primo-explore/search?tab=default_tab&amp;search_scope=EVERYTHING&amp;vid=01CRU&amp;lang=en_US&amp;offset=0&amp;query=any,contains,991002270659702656","Catalog Record")</f>
        <v/>
      </c>
      <c r="AT411">
        <f>HYPERLINK("http://www.worldcat.org/oclc/29469324","WorldCat Record")</f>
        <v/>
      </c>
      <c r="AU411" t="inlineStr">
        <is>
          <t>20654332:eng</t>
        </is>
      </c>
      <c r="AV411" t="inlineStr">
        <is>
          <t>29469324</t>
        </is>
      </c>
      <c r="AW411" t="inlineStr">
        <is>
          <t>991002270659702656</t>
        </is>
      </c>
      <c r="AX411" t="inlineStr">
        <is>
          <t>991002270659702656</t>
        </is>
      </c>
      <c r="AY411" t="inlineStr">
        <is>
          <t>2261317400002656</t>
        </is>
      </c>
      <c r="AZ411" t="inlineStr">
        <is>
          <t>BOOK</t>
        </is>
      </c>
      <c r="BB411" t="inlineStr">
        <is>
          <t>9780065009736</t>
        </is>
      </c>
      <c r="BC411" t="inlineStr">
        <is>
          <t>32285001867331</t>
        </is>
      </c>
      <c r="BD411" t="inlineStr">
        <is>
          <t>893691410</t>
        </is>
      </c>
    </row>
    <row r="412">
      <c r="A412" t="inlineStr">
        <is>
          <t>No</t>
        </is>
      </c>
      <c r="B412" t="inlineStr">
        <is>
          <t>HV5825 .T68 2004</t>
        </is>
      </c>
      <c r="C412" t="inlineStr">
        <is>
          <t>0                      HV 5825000T  68          2004</t>
        </is>
      </c>
      <c r="D412" t="inlineStr">
        <is>
          <t>Can't find my way home : America in the great stoned age, 1945-2000 / Martin Torgoff.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Torgoff, Martin.</t>
        </is>
      </c>
      <c r="L412" t="inlineStr">
        <is>
          <t>New York : Simon &amp; Schuster Paperbacks, c2004.</t>
        </is>
      </c>
      <c r="M412" t="inlineStr">
        <is>
          <t>2004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HV </t>
        </is>
      </c>
      <c r="S412" t="n">
        <v>4</v>
      </c>
      <c r="T412" t="n">
        <v>4</v>
      </c>
      <c r="U412" t="inlineStr">
        <is>
          <t>2009-02-16</t>
        </is>
      </c>
      <c r="V412" t="inlineStr">
        <is>
          <t>2009-02-16</t>
        </is>
      </c>
      <c r="W412" t="inlineStr">
        <is>
          <t>2006-04-17</t>
        </is>
      </c>
      <c r="X412" t="inlineStr">
        <is>
          <t>2006-04-17</t>
        </is>
      </c>
      <c r="Y412" t="n">
        <v>937</v>
      </c>
      <c r="Z412" t="n">
        <v>875</v>
      </c>
      <c r="AA412" t="n">
        <v>906</v>
      </c>
      <c r="AB412" t="n">
        <v>6</v>
      </c>
      <c r="AC412" t="n">
        <v>6</v>
      </c>
      <c r="AD412" t="n">
        <v>26</v>
      </c>
      <c r="AE412" t="n">
        <v>27</v>
      </c>
      <c r="AF412" t="n">
        <v>12</v>
      </c>
      <c r="AG412" t="n">
        <v>12</v>
      </c>
      <c r="AH412" t="n">
        <v>3</v>
      </c>
      <c r="AI412" t="n">
        <v>4</v>
      </c>
      <c r="AJ412" t="n">
        <v>13</v>
      </c>
      <c r="AK412" t="n">
        <v>13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HYPERLINK("https://creighton-primo.hosted.exlibrisgroup.com/primo-explore/search?tab=default_tab&amp;search_scope=EVERYTHING&amp;vid=01CRU&amp;lang=en_US&amp;offset=0&amp;query=any,contains,991004784639702656","Catalog Record")</f>
        <v/>
      </c>
      <c r="AT412">
        <f>HYPERLINK("http://www.worldcat.org/oclc/54349574","WorldCat Record")</f>
        <v/>
      </c>
      <c r="AU412" t="inlineStr">
        <is>
          <t>741213:eng</t>
        </is>
      </c>
      <c r="AV412" t="inlineStr">
        <is>
          <t>54349574</t>
        </is>
      </c>
      <c r="AW412" t="inlineStr">
        <is>
          <t>991004784639702656</t>
        </is>
      </c>
      <c r="AX412" t="inlineStr">
        <is>
          <t>991004784639702656</t>
        </is>
      </c>
      <c r="AY412" t="inlineStr">
        <is>
          <t>2268616600002656</t>
        </is>
      </c>
      <c r="AZ412" t="inlineStr">
        <is>
          <t>BOOK</t>
        </is>
      </c>
      <c r="BB412" t="inlineStr">
        <is>
          <t>9780743230100</t>
        </is>
      </c>
      <c r="BC412" t="inlineStr">
        <is>
          <t>32285005064059</t>
        </is>
      </c>
      <c r="BD412" t="inlineStr">
        <is>
          <t>893319636</t>
        </is>
      </c>
    </row>
    <row r="413">
      <c r="A413" t="inlineStr">
        <is>
          <t>No</t>
        </is>
      </c>
      <c r="B413" t="inlineStr">
        <is>
          <t>HV5825 .W548 1990</t>
        </is>
      </c>
      <c r="C413" t="inlineStr">
        <is>
          <t>0                      HV 5825000W  548         1990</t>
        </is>
      </c>
      <c r="D413" t="inlineStr">
        <is>
          <t>Beyond the war on drugs : overcoming a failed public policy / Steven Wisotsky ; preface by Thomas Szasz.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Wisotsky, Steven.</t>
        </is>
      </c>
      <c r="L413" t="inlineStr">
        <is>
          <t>Buffalo, N.Y. : Prometheus Books, 1990.</t>
        </is>
      </c>
      <c r="M413" t="inlineStr">
        <is>
          <t>1990</t>
        </is>
      </c>
      <c r="O413" t="inlineStr">
        <is>
          <t>eng</t>
        </is>
      </c>
      <c r="P413" t="inlineStr">
        <is>
          <t>nyu</t>
        </is>
      </c>
      <c r="R413" t="inlineStr">
        <is>
          <t xml:space="preserve">HV </t>
        </is>
      </c>
      <c r="S413" t="n">
        <v>25</v>
      </c>
      <c r="T413" t="n">
        <v>25</v>
      </c>
      <c r="U413" t="inlineStr">
        <is>
          <t>2007-12-07</t>
        </is>
      </c>
      <c r="V413" t="inlineStr">
        <is>
          <t>2007-12-07</t>
        </is>
      </c>
      <c r="W413" t="inlineStr">
        <is>
          <t>1991-11-18</t>
        </is>
      </c>
      <c r="X413" t="inlineStr">
        <is>
          <t>1991-11-18</t>
        </is>
      </c>
      <c r="Y413" t="n">
        <v>406</v>
      </c>
      <c r="Z413" t="n">
        <v>360</v>
      </c>
      <c r="AA413" t="n">
        <v>366</v>
      </c>
      <c r="AB413" t="n">
        <v>3</v>
      </c>
      <c r="AC413" t="n">
        <v>3</v>
      </c>
      <c r="AD413" t="n">
        <v>14</v>
      </c>
      <c r="AE413" t="n">
        <v>14</v>
      </c>
      <c r="AF413" t="n">
        <v>5</v>
      </c>
      <c r="AG413" t="n">
        <v>5</v>
      </c>
      <c r="AH413" t="n">
        <v>1</v>
      </c>
      <c r="AI413" t="n">
        <v>1</v>
      </c>
      <c r="AJ413" t="n">
        <v>7</v>
      </c>
      <c r="AK413" t="n">
        <v>7</v>
      </c>
      <c r="AL413" t="n">
        <v>2</v>
      </c>
      <c r="AM413" t="n">
        <v>2</v>
      </c>
      <c r="AN413" t="n">
        <v>4</v>
      </c>
      <c r="AO413" t="n">
        <v>4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HYPERLINK("https://creighton-primo.hosted.exlibrisgroup.com/primo-explore/search?tab=default_tab&amp;search_scope=EVERYTHING&amp;vid=01CRU&amp;lang=en_US&amp;offset=0&amp;query=any,contains,991001632469702656","Catalog Record")</f>
        <v/>
      </c>
      <c r="AT413">
        <f>HYPERLINK("http://www.worldcat.org/oclc/20931793","WorldCat Record")</f>
        <v/>
      </c>
      <c r="AU413" t="inlineStr">
        <is>
          <t>930304:eng</t>
        </is>
      </c>
      <c r="AV413" t="inlineStr">
        <is>
          <t>20931793</t>
        </is>
      </c>
      <c r="AW413" t="inlineStr">
        <is>
          <t>991001632469702656</t>
        </is>
      </c>
      <c r="AX413" t="inlineStr">
        <is>
          <t>991001632469702656</t>
        </is>
      </c>
      <c r="AY413" t="inlineStr">
        <is>
          <t>2265931700002656</t>
        </is>
      </c>
      <c r="AZ413" t="inlineStr">
        <is>
          <t>BOOK</t>
        </is>
      </c>
      <c r="BB413" t="inlineStr">
        <is>
          <t>9780879755874</t>
        </is>
      </c>
      <c r="BC413" t="inlineStr">
        <is>
          <t>32285000817105</t>
        </is>
      </c>
      <c r="BD413" t="inlineStr">
        <is>
          <t>893885427</t>
        </is>
      </c>
    </row>
    <row r="414">
      <c r="A414" t="inlineStr">
        <is>
          <t>No</t>
        </is>
      </c>
      <c r="B414" t="inlineStr">
        <is>
          <t>HV5825 .W55 1986</t>
        </is>
      </c>
      <c r="C414" t="inlineStr">
        <is>
          <t>0                      HV 5825000W  55          1986</t>
        </is>
      </c>
      <c r="D414" t="inlineStr">
        <is>
          <t>Breaking the impasse in the war on drugs / Steven Wisotsky ; foreword by Thomas Szasz.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Wisotsky, Steven.</t>
        </is>
      </c>
      <c r="L414" t="inlineStr">
        <is>
          <t>New York : Greenwood Press, 1986.</t>
        </is>
      </c>
      <c r="M414" t="inlineStr">
        <is>
          <t>1986</t>
        </is>
      </c>
      <c r="O414" t="inlineStr">
        <is>
          <t>eng</t>
        </is>
      </c>
      <c r="P414" t="inlineStr">
        <is>
          <t>nyu</t>
        </is>
      </c>
      <c r="Q414" t="inlineStr">
        <is>
          <t>Contributions in political science, 0147-1066 ; no. 159</t>
        </is>
      </c>
      <c r="R414" t="inlineStr">
        <is>
          <t xml:space="preserve">HV </t>
        </is>
      </c>
      <c r="S414" t="n">
        <v>14</v>
      </c>
      <c r="T414" t="n">
        <v>14</v>
      </c>
      <c r="U414" t="inlineStr">
        <is>
          <t>2007-12-07</t>
        </is>
      </c>
      <c r="V414" t="inlineStr">
        <is>
          <t>2007-12-07</t>
        </is>
      </c>
      <c r="W414" t="inlineStr">
        <is>
          <t>1991-12-09</t>
        </is>
      </c>
      <c r="X414" t="inlineStr">
        <is>
          <t>1991-12-09</t>
        </is>
      </c>
      <c r="Y414" t="n">
        <v>426</v>
      </c>
      <c r="Z414" t="n">
        <v>373</v>
      </c>
      <c r="AA414" t="n">
        <v>374</v>
      </c>
      <c r="AB414" t="n">
        <v>3</v>
      </c>
      <c r="AC414" t="n">
        <v>3</v>
      </c>
      <c r="AD414" t="n">
        <v>14</v>
      </c>
      <c r="AE414" t="n">
        <v>14</v>
      </c>
      <c r="AF414" t="n">
        <v>0</v>
      </c>
      <c r="AG414" t="n">
        <v>0</v>
      </c>
      <c r="AH414" t="n">
        <v>4</v>
      </c>
      <c r="AI414" t="n">
        <v>4</v>
      </c>
      <c r="AJ414" t="n">
        <v>9</v>
      </c>
      <c r="AK414" t="n">
        <v>9</v>
      </c>
      <c r="AL414" t="n">
        <v>2</v>
      </c>
      <c r="AM414" t="n">
        <v>2</v>
      </c>
      <c r="AN414" t="n">
        <v>1</v>
      </c>
      <c r="AO414" t="n">
        <v>1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HYPERLINK("http://catalog.hathitrust.org/Record/000493661","HathiTrust Record")</f>
        <v/>
      </c>
      <c r="AS414">
        <f>HYPERLINK("https://creighton-primo.hosted.exlibrisgroup.com/primo-explore/search?tab=default_tab&amp;search_scope=EVERYTHING&amp;vid=01CRU&amp;lang=en_US&amp;offset=0&amp;query=any,contains,991000823489702656","Catalog Record")</f>
        <v/>
      </c>
      <c r="AT414">
        <f>HYPERLINK("http://www.worldcat.org/oclc/13397145","WorldCat Record")</f>
        <v/>
      </c>
      <c r="AU414" t="inlineStr">
        <is>
          <t>2607007:eng</t>
        </is>
      </c>
      <c r="AV414" t="inlineStr">
        <is>
          <t>13397145</t>
        </is>
      </c>
      <c r="AW414" t="inlineStr">
        <is>
          <t>991000823489702656</t>
        </is>
      </c>
      <c r="AX414" t="inlineStr">
        <is>
          <t>991000823489702656</t>
        </is>
      </c>
      <c r="AY414" t="inlineStr">
        <is>
          <t>2263842830002656</t>
        </is>
      </c>
      <c r="AZ414" t="inlineStr">
        <is>
          <t>BOOK</t>
        </is>
      </c>
      <c r="BB414" t="inlineStr">
        <is>
          <t>9780313242663</t>
        </is>
      </c>
      <c r="BC414" t="inlineStr">
        <is>
          <t>32285000872985</t>
        </is>
      </c>
      <c r="BD414" t="inlineStr">
        <is>
          <t>893772003</t>
        </is>
      </c>
    </row>
    <row r="415">
      <c r="A415" t="inlineStr">
        <is>
          <t>No</t>
        </is>
      </c>
      <c r="B415" t="inlineStr">
        <is>
          <t>HV5825 .Z56 1992</t>
        </is>
      </c>
      <c r="C415" t="inlineStr">
        <is>
          <t>0                      HV 5825000Z  56          1992</t>
        </is>
      </c>
      <c r="D415" t="inlineStr">
        <is>
          <t>The search for rational drug control / Franklin E. Zimring and Gordon Hawkins.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Zimring, Franklin E.</t>
        </is>
      </c>
      <c r="L415" t="inlineStr">
        <is>
          <t>Cambridge ; New York : Cambridge University Press, 1992.</t>
        </is>
      </c>
      <c r="M415" t="inlineStr">
        <is>
          <t>1992</t>
        </is>
      </c>
      <c r="O415" t="inlineStr">
        <is>
          <t>eng</t>
        </is>
      </c>
      <c r="P415" t="inlineStr">
        <is>
          <t>enk</t>
        </is>
      </c>
      <c r="Q415" t="inlineStr">
        <is>
          <t>An Earl Warren Legal Institute study</t>
        </is>
      </c>
      <c r="R415" t="inlineStr">
        <is>
          <t xml:space="preserve">HV </t>
        </is>
      </c>
      <c r="S415" t="n">
        <v>19</v>
      </c>
      <c r="T415" t="n">
        <v>19</v>
      </c>
      <c r="U415" t="inlineStr">
        <is>
          <t>2007-12-07</t>
        </is>
      </c>
      <c r="V415" t="inlineStr">
        <is>
          <t>2007-12-07</t>
        </is>
      </c>
      <c r="W415" t="inlineStr">
        <is>
          <t>1993-09-22</t>
        </is>
      </c>
      <c r="X415" t="inlineStr">
        <is>
          <t>1993-09-22</t>
        </is>
      </c>
      <c r="Y415" t="n">
        <v>602</v>
      </c>
      <c r="Z415" t="n">
        <v>518</v>
      </c>
      <c r="AA415" t="n">
        <v>538</v>
      </c>
      <c r="AB415" t="n">
        <v>4</v>
      </c>
      <c r="AC415" t="n">
        <v>4</v>
      </c>
      <c r="AD415" t="n">
        <v>31</v>
      </c>
      <c r="AE415" t="n">
        <v>32</v>
      </c>
      <c r="AF415" t="n">
        <v>8</v>
      </c>
      <c r="AG415" t="n">
        <v>8</v>
      </c>
      <c r="AH415" t="n">
        <v>3</v>
      </c>
      <c r="AI415" t="n">
        <v>4</v>
      </c>
      <c r="AJ415" t="n">
        <v>11</v>
      </c>
      <c r="AK415" t="n">
        <v>11</v>
      </c>
      <c r="AL415" t="n">
        <v>3</v>
      </c>
      <c r="AM415" t="n">
        <v>3</v>
      </c>
      <c r="AN415" t="n">
        <v>10</v>
      </c>
      <c r="AO415" t="n">
        <v>10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HYPERLINK("https://creighton-primo.hosted.exlibrisgroup.com/primo-explore/search?tab=default_tab&amp;search_scope=EVERYTHING&amp;vid=01CRU&amp;lang=en_US&amp;offset=0&amp;query=any,contains,991001912649702656","Catalog Record")</f>
        <v/>
      </c>
      <c r="AT415">
        <f>HYPERLINK("http://www.worldcat.org/oclc/24144067","WorldCat Record")</f>
        <v/>
      </c>
      <c r="AU415" t="inlineStr">
        <is>
          <t>26159559:eng</t>
        </is>
      </c>
      <c r="AV415" t="inlineStr">
        <is>
          <t>24144067</t>
        </is>
      </c>
      <c r="AW415" t="inlineStr">
        <is>
          <t>991001912649702656</t>
        </is>
      </c>
      <c r="AX415" t="inlineStr">
        <is>
          <t>991001912649702656</t>
        </is>
      </c>
      <c r="AY415" t="inlineStr">
        <is>
          <t>2264721740002656</t>
        </is>
      </c>
      <c r="AZ415" t="inlineStr">
        <is>
          <t>BOOK</t>
        </is>
      </c>
      <c r="BB415" t="inlineStr">
        <is>
          <t>9780521416689</t>
        </is>
      </c>
      <c r="BC415" t="inlineStr">
        <is>
          <t>32285001767770</t>
        </is>
      </c>
      <c r="BD415" t="inlineStr">
        <is>
          <t>893809221</t>
        </is>
      </c>
    </row>
    <row r="416">
      <c r="A416" t="inlineStr">
        <is>
          <t>No</t>
        </is>
      </c>
      <c r="B416" t="inlineStr">
        <is>
          <t>HV5831.C2 A635 1985</t>
        </is>
      </c>
      <c r="C416" t="inlineStr">
        <is>
          <t>0                      HV 5831000C  2                  A  635         1985</t>
        </is>
      </c>
      <c r="D416" t="inlineStr">
        <is>
          <t>Wheeling and dealing : an ethnography of an upper-level drug dealing and smuggling community / Patricia A. Adler.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Adler, Patricia A.</t>
        </is>
      </c>
      <c r="L416" t="inlineStr">
        <is>
          <t>New York : Columbia University Press, 1985.</t>
        </is>
      </c>
      <c r="M416" t="inlineStr">
        <is>
          <t>1985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HV </t>
        </is>
      </c>
      <c r="S416" t="n">
        <v>10</v>
      </c>
      <c r="T416" t="n">
        <v>10</v>
      </c>
      <c r="U416" t="inlineStr">
        <is>
          <t>2007-11-10</t>
        </is>
      </c>
      <c r="V416" t="inlineStr">
        <is>
          <t>2007-11-10</t>
        </is>
      </c>
      <c r="W416" t="inlineStr">
        <is>
          <t>1990-05-03</t>
        </is>
      </c>
      <c r="X416" t="inlineStr">
        <is>
          <t>1990-05-03</t>
        </is>
      </c>
      <c r="Y416" t="n">
        <v>546</v>
      </c>
      <c r="Z416" t="n">
        <v>469</v>
      </c>
      <c r="AA416" t="n">
        <v>603</v>
      </c>
      <c r="AB416" t="n">
        <v>3</v>
      </c>
      <c r="AC416" t="n">
        <v>5</v>
      </c>
      <c r="AD416" t="n">
        <v>23</v>
      </c>
      <c r="AE416" t="n">
        <v>28</v>
      </c>
      <c r="AF416" t="n">
        <v>14</v>
      </c>
      <c r="AG416" t="n">
        <v>15</v>
      </c>
      <c r="AH416" t="n">
        <v>5</v>
      </c>
      <c r="AI416" t="n">
        <v>6</v>
      </c>
      <c r="AJ416" t="n">
        <v>11</v>
      </c>
      <c r="AK416" t="n">
        <v>13</v>
      </c>
      <c r="AL416" t="n">
        <v>2</v>
      </c>
      <c r="AM416" t="n">
        <v>4</v>
      </c>
      <c r="AN416" t="n">
        <v>0</v>
      </c>
      <c r="AO416" t="n">
        <v>0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HYPERLINK("https://creighton-primo.hosted.exlibrisgroup.com/primo-explore/search?tab=default_tab&amp;search_scope=EVERYTHING&amp;vid=01CRU&amp;lang=en_US&amp;offset=0&amp;query=any,contains,991000573809702656","Catalog Record")</f>
        <v/>
      </c>
      <c r="AT416">
        <f>HYPERLINK("http://www.worldcat.org/oclc/11676187","WorldCat Record")</f>
        <v/>
      </c>
      <c r="AU416" t="inlineStr">
        <is>
          <t>836700380:eng</t>
        </is>
      </c>
      <c r="AV416" t="inlineStr">
        <is>
          <t>11676187</t>
        </is>
      </c>
      <c r="AW416" t="inlineStr">
        <is>
          <t>991000573809702656</t>
        </is>
      </c>
      <c r="AX416" t="inlineStr">
        <is>
          <t>991000573809702656</t>
        </is>
      </c>
      <c r="AY416" t="inlineStr">
        <is>
          <t>2256751270002656</t>
        </is>
      </c>
      <c r="AZ416" t="inlineStr">
        <is>
          <t>BOOK</t>
        </is>
      </c>
      <c r="BB416" t="inlineStr">
        <is>
          <t>9780231060608</t>
        </is>
      </c>
      <c r="BC416" t="inlineStr">
        <is>
          <t>32285000148139</t>
        </is>
      </c>
      <c r="BD416" t="inlineStr">
        <is>
          <t>893890822</t>
        </is>
      </c>
    </row>
    <row r="417">
      <c r="A417" t="inlineStr">
        <is>
          <t>No</t>
        </is>
      </c>
      <c r="B417" t="inlineStr">
        <is>
          <t>HV5831.M46 R67 1998</t>
        </is>
      </c>
      <c r="C417" t="inlineStr">
        <is>
          <t>0                      HV 5831000M  46                 R  67          1998</t>
        </is>
      </c>
      <c r="D417" t="inlineStr">
        <is>
          <t>Twilight on the line : underworlds and politics at the U.S.-Mexico Border / Sebastian Rotella.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Rotella, Sebastian.</t>
        </is>
      </c>
      <c r="L417" t="inlineStr">
        <is>
          <t>New York : W.W. Norton, c1998.</t>
        </is>
      </c>
      <c r="M417" t="inlineStr">
        <is>
          <t>1998</t>
        </is>
      </c>
      <c r="N417" t="inlineStr">
        <is>
          <t>1st ed.</t>
        </is>
      </c>
      <c r="O417" t="inlineStr">
        <is>
          <t>eng</t>
        </is>
      </c>
      <c r="P417" t="inlineStr">
        <is>
          <t>nyu</t>
        </is>
      </c>
      <c r="R417" t="inlineStr">
        <is>
          <t xml:space="preserve">HV </t>
        </is>
      </c>
      <c r="S417" t="n">
        <v>5</v>
      </c>
      <c r="T417" t="n">
        <v>5</v>
      </c>
      <c r="U417" t="inlineStr">
        <is>
          <t>2010-04-13</t>
        </is>
      </c>
      <c r="V417" t="inlineStr">
        <is>
          <t>2010-04-13</t>
        </is>
      </c>
      <c r="W417" t="inlineStr">
        <is>
          <t>1998-02-24</t>
        </is>
      </c>
      <c r="X417" t="inlineStr">
        <is>
          <t>1998-02-24</t>
        </is>
      </c>
      <c r="Y417" t="n">
        <v>738</v>
      </c>
      <c r="Z417" t="n">
        <v>702</v>
      </c>
      <c r="AA417" t="n">
        <v>708</v>
      </c>
      <c r="AB417" t="n">
        <v>4</v>
      </c>
      <c r="AC417" t="n">
        <v>4</v>
      </c>
      <c r="AD417" t="n">
        <v>24</v>
      </c>
      <c r="AE417" t="n">
        <v>24</v>
      </c>
      <c r="AF417" t="n">
        <v>8</v>
      </c>
      <c r="AG417" t="n">
        <v>8</v>
      </c>
      <c r="AH417" t="n">
        <v>5</v>
      </c>
      <c r="AI417" t="n">
        <v>5</v>
      </c>
      <c r="AJ417" t="n">
        <v>13</v>
      </c>
      <c r="AK417" t="n">
        <v>13</v>
      </c>
      <c r="AL417" t="n">
        <v>3</v>
      </c>
      <c r="AM417" t="n">
        <v>3</v>
      </c>
      <c r="AN417" t="n">
        <v>1</v>
      </c>
      <c r="AO417" t="n">
        <v>1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HYPERLINK("https://creighton-primo.hosted.exlibrisgroup.com/primo-explore/search?tab=default_tab&amp;search_scope=EVERYTHING&amp;vid=01CRU&amp;lang=en_US&amp;offset=0&amp;query=any,contains,991002802239702656","Catalog Record")</f>
        <v/>
      </c>
      <c r="AT417">
        <f>HYPERLINK("http://www.worldcat.org/oclc/36807426","WorldCat Record")</f>
        <v/>
      </c>
      <c r="AU417" t="inlineStr">
        <is>
          <t>340286899:eng</t>
        </is>
      </c>
      <c r="AV417" t="inlineStr">
        <is>
          <t>36807426</t>
        </is>
      </c>
      <c r="AW417" t="inlineStr">
        <is>
          <t>991002802239702656</t>
        </is>
      </c>
      <c r="AX417" t="inlineStr">
        <is>
          <t>991002802239702656</t>
        </is>
      </c>
      <c r="AY417" t="inlineStr">
        <is>
          <t>2261149920002656</t>
        </is>
      </c>
      <c r="AZ417" t="inlineStr">
        <is>
          <t>BOOK</t>
        </is>
      </c>
      <c r="BB417" t="inlineStr">
        <is>
          <t>9780393041132</t>
        </is>
      </c>
      <c r="BC417" t="inlineStr">
        <is>
          <t>32285003355061</t>
        </is>
      </c>
      <c r="BD417" t="inlineStr">
        <is>
          <t>893434303</t>
        </is>
      </c>
    </row>
    <row r="418">
      <c r="A418" t="inlineStr">
        <is>
          <t>No</t>
        </is>
      </c>
      <c r="B418" t="inlineStr">
        <is>
          <t>HV5840.B72 R564 2005</t>
        </is>
      </c>
      <c r="C418" t="inlineStr">
        <is>
          <t>0                      HV 5840000B  72                 R  564         2005</t>
        </is>
      </c>
      <c r="D418" t="inlineStr">
        <is>
          <t>Lucia : testimonies of a Brazilian drug dealer's woman / Robert Gay ; foreword by Arthur Schmidt.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Gay, Robert, 1958-</t>
        </is>
      </c>
      <c r="L418" t="inlineStr">
        <is>
          <t>Philadelphia : Temple University Press, 2005.</t>
        </is>
      </c>
      <c r="M418" t="inlineStr">
        <is>
          <t>2005</t>
        </is>
      </c>
      <c r="O418" t="inlineStr">
        <is>
          <t>eng</t>
        </is>
      </c>
      <c r="P418" t="inlineStr">
        <is>
          <t>pau</t>
        </is>
      </c>
      <c r="Q418" t="inlineStr">
        <is>
          <t>Voices of Latin American life</t>
        </is>
      </c>
      <c r="R418" t="inlineStr">
        <is>
          <t xml:space="preserve">HV </t>
        </is>
      </c>
      <c r="S418" t="n">
        <v>2</v>
      </c>
      <c r="T418" t="n">
        <v>2</v>
      </c>
      <c r="U418" t="inlineStr">
        <is>
          <t>2010-01-26</t>
        </is>
      </c>
      <c r="V418" t="inlineStr">
        <is>
          <t>2010-01-26</t>
        </is>
      </c>
      <c r="W418" t="inlineStr">
        <is>
          <t>2006-02-03</t>
        </is>
      </c>
      <c r="X418" t="inlineStr">
        <is>
          <t>2006-02-03</t>
        </is>
      </c>
      <c r="Y418" t="n">
        <v>207</v>
      </c>
      <c r="Z418" t="n">
        <v>180</v>
      </c>
      <c r="AA418" t="n">
        <v>405</v>
      </c>
      <c r="AB418" t="n">
        <v>2</v>
      </c>
      <c r="AC418" t="n">
        <v>3</v>
      </c>
      <c r="AD418" t="n">
        <v>10</v>
      </c>
      <c r="AE418" t="n">
        <v>21</v>
      </c>
      <c r="AF418" t="n">
        <v>3</v>
      </c>
      <c r="AG418" t="n">
        <v>9</v>
      </c>
      <c r="AH418" t="n">
        <v>3</v>
      </c>
      <c r="AI418" t="n">
        <v>6</v>
      </c>
      <c r="AJ418" t="n">
        <v>6</v>
      </c>
      <c r="AK418" t="n">
        <v>10</v>
      </c>
      <c r="AL418" t="n">
        <v>1</v>
      </c>
      <c r="AM418" t="n">
        <v>2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HYPERLINK("https://creighton-primo.hosted.exlibrisgroup.com/primo-explore/search?tab=default_tab&amp;search_scope=EVERYTHING&amp;vid=01CRU&amp;lang=en_US&amp;offset=0&amp;query=any,contains,991004714419702656","Catalog Record")</f>
        <v/>
      </c>
      <c r="AT418">
        <f>HYPERLINK("http://www.worldcat.org/oclc/56825150","WorldCat Record")</f>
        <v/>
      </c>
      <c r="AU418" t="inlineStr">
        <is>
          <t>186177:eng</t>
        </is>
      </c>
      <c r="AV418" t="inlineStr">
        <is>
          <t>56825150</t>
        </is>
      </c>
      <c r="AW418" t="inlineStr">
        <is>
          <t>991004714419702656</t>
        </is>
      </c>
      <c r="AX418" t="inlineStr">
        <is>
          <t>991004714419702656</t>
        </is>
      </c>
      <c r="AY418" t="inlineStr">
        <is>
          <t>2269868410002656</t>
        </is>
      </c>
      <c r="AZ418" t="inlineStr">
        <is>
          <t>BOOK</t>
        </is>
      </c>
      <c r="BB418" t="inlineStr">
        <is>
          <t>9781592133383</t>
        </is>
      </c>
      <c r="BC418" t="inlineStr">
        <is>
          <t>32285005156996</t>
        </is>
      </c>
      <c r="BD418" t="inlineStr">
        <is>
          <t>893606373</t>
        </is>
      </c>
    </row>
    <row r="419">
      <c r="A419" t="inlineStr">
        <is>
          <t>No</t>
        </is>
      </c>
      <c r="B419" t="inlineStr">
        <is>
          <t>HV5840.C315 G75 1997</t>
        </is>
      </c>
      <c r="C419" t="inlineStr">
        <is>
          <t>0                      HV 5840000C  315                G  75          1997</t>
        </is>
      </c>
      <c r="D419" t="inlineStr">
        <is>
          <t>Drugs and security in the Caribbean : sovereignty under siege / Ivelaw Lloyd Griffith.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Griffith, Ivelaw L.</t>
        </is>
      </c>
      <c r="L419" t="inlineStr">
        <is>
          <t>University Park, Pa. : Pennsylvannia State University Press, c1997.</t>
        </is>
      </c>
      <c r="M419" t="inlineStr">
        <is>
          <t>1997</t>
        </is>
      </c>
      <c r="O419" t="inlineStr">
        <is>
          <t>eng</t>
        </is>
      </c>
      <c r="P419" t="inlineStr">
        <is>
          <t>pau</t>
        </is>
      </c>
      <c r="R419" t="inlineStr">
        <is>
          <t xml:space="preserve">HV </t>
        </is>
      </c>
      <c r="S419" t="n">
        <v>6</v>
      </c>
      <c r="T419" t="n">
        <v>6</v>
      </c>
      <c r="U419" t="inlineStr">
        <is>
          <t>2010-04-08</t>
        </is>
      </c>
      <c r="V419" t="inlineStr">
        <is>
          <t>2010-04-08</t>
        </is>
      </c>
      <c r="W419" t="inlineStr">
        <is>
          <t>1998-09-09</t>
        </is>
      </c>
      <c r="X419" t="inlineStr">
        <is>
          <t>1998-09-09</t>
        </is>
      </c>
      <c r="Y419" t="n">
        <v>371</v>
      </c>
      <c r="Z419" t="n">
        <v>312</v>
      </c>
      <c r="AA419" t="n">
        <v>317</v>
      </c>
      <c r="AB419" t="n">
        <v>2</v>
      </c>
      <c r="AC419" t="n">
        <v>2</v>
      </c>
      <c r="AD419" t="n">
        <v>13</v>
      </c>
      <c r="AE419" t="n">
        <v>13</v>
      </c>
      <c r="AF419" t="n">
        <v>4</v>
      </c>
      <c r="AG419" t="n">
        <v>4</v>
      </c>
      <c r="AH419" t="n">
        <v>5</v>
      </c>
      <c r="AI419" t="n">
        <v>5</v>
      </c>
      <c r="AJ419" t="n">
        <v>8</v>
      </c>
      <c r="AK419" t="n">
        <v>8</v>
      </c>
      <c r="AL419" t="n">
        <v>1</v>
      </c>
      <c r="AM419" t="n">
        <v>1</v>
      </c>
      <c r="AN419" t="n">
        <v>1</v>
      </c>
      <c r="AO419" t="n">
        <v>1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HYPERLINK("http://catalog.hathitrust.org/Record/003943690","HathiTrust Record")</f>
        <v/>
      </c>
      <c r="AS419">
        <f>HYPERLINK("https://creighton-primo.hosted.exlibrisgroup.com/primo-explore/search?tab=default_tab&amp;search_scope=EVERYTHING&amp;vid=01CRU&amp;lang=en_US&amp;offset=0&amp;query=any,contains,991005425359702656","Catalog Record")</f>
        <v/>
      </c>
      <c r="AT419">
        <f>HYPERLINK("http://www.worldcat.org/oclc/36037841","WorldCat Record")</f>
        <v/>
      </c>
      <c r="AU419" t="inlineStr">
        <is>
          <t>335674834:eng</t>
        </is>
      </c>
      <c r="AV419" t="inlineStr">
        <is>
          <t>36037841</t>
        </is>
      </c>
      <c r="AW419" t="inlineStr">
        <is>
          <t>991005425359702656</t>
        </is>
      </c>
      <c r="AX419" t="inlineStr">
        <is>
          <t>991005425359702656</t>
        </is>
      </c>
      <c r="AY419" t="inlineStr">
        <is>
          <t>2256739700002656</t>
        </is>
      </c>
      <c r="AZ419" t="inlineStr">
        <is>
          <t>BOOK</t>
        </is>
      </c>
      <c r="BB419" t="inlineStr">
        <is>
          <t>9780271017181</t>
        </is>
      </c>
      <c r="BC419" t="inlineStr">
        <is>
          <t>32285003466611</t>
        </is>
      </c>
      <c r="BD419" t="inlineStr">
        <is>
          <t>893514736</t>
        </is>
      </c>
    </row>
    <row r="420">
      <c r="A420" t="inlineStr">
        <is>
          <t>No</t>
        </is>
      </c>
      <c r="B420" t="inlineStr">
        <is>
          <t>HV5840.C7 K57 2003</t>
        </is>
      </c>
      <c r="C420" t="inlineStr">
        <is>
          <t>0                      HV 5840000C  7                  K  57          2003</t>
        </is>
      </c>
      <c r="D420" t="inlineStr">
        <is>
          <t>More terrible than death : massacres, drugs, and America's war in Colombia / Robin Kirk.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Kirk, Robin.</t>
        </is>
      </c>
      <c r="L420" t="inlineStr">
        <is>
          <t>New York : PublicAffairs, c2003.</t>
        </is>
      </c>
      <c r="M420" t="inlineStr">
        <is>
          <t>2003</t>
        </is>
      </c>
      <c r="N420" t="inlineStr">
        <is>
          <t>lst ed.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HV </t>
        </is>
      </c>
      <c r="S420" t="n">
        <v>8</v>
      </c>
      <c r="T420" t="n">
        <v>8</v>
      </c>
      <c r="U420" t="inlineStr">
        <is>
          <t>2010-04-27</t>
        </is>
      </c>
      <c r="V420" t="inlineStr">
        <is>
          <t>2010-04-27</t>
        </is>
      </c>
      <c r="W420" t="inlineStr">
        <is>
          <t>2003-03-26</t>
        </is>
      </c>
      <c r="X420" t="inlineStr">
        <is>
          <t>2003-03-26</t>
        </is>
      </c>
      <c r="Y420" t="n">
        <v>484</v>
      </c>
      <c r="Z420" t="n">
        <v>417</v>
      </c>
      <c r="AA420" t="n">
        <v>524</v>
      </c>
      <c r="AB420" t="n">
        <v>3</v>
      </c>
      <c r="AC420" t="n">
        <v>3</v>
      </c>
      <c r="AD420" t="n">
        <v>21</v>
      </c>
      <c r="AE420" t="n">
        <v>24</v>
      </c>
      <c r="AF420" t="n">
        <v>9</v>
      </c>
      <c r="AG420" t="n">
        <v>11</v>
      </c>
      <c r="AH420" t="n">
        <v>5</v>
      </c>
      <c r="AI420" t="n">
        <v>6</v>
      </c>
      <c r="AJ420" t="n">
        <v>12</v>
      </c>
      <c r="AK420" t="n">
        <v>13</v>
      </c>
      <c r="AL420" t="n">
        <v>2</v>
      </c>
      <c r="AM420" t="n">
        <v>2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HYPERLINK("https://creighton-primo.hosted.exlibrisgroup.com/primo-explore/search?tab=default_tab&amp;search_scope=EVERYTHING&amp;vid=01CRU&amp;lang=en_US&amp;offset=0&amp;query=any,contains,991004004649702656","Catalog Record")</f>
        <v/>
      </c>
      <c r="AT420">
        <f>HYPERLINK("http://www.worldcat.org/oclc/50773179","WorldCat Record")</f>
        <v/>
      </c>
      <c r="AU420" t="inlineStr">
        <is>
          <t>7378083:eng</t>
        </is>
      </c>
      <c r="AV420" t="inlineStr">
        <is>
          <t>50773179</t>
        </is>
      </c>
      <c r="AW420" t="inlineStr">
        <is>
          <t>991004004649702656</t>
        </is>
      </c>
      <c r="AX420" t="inlineStr">
        <is>
          <t>991004004649702656</t>
        </is>
      </c>
      <c r="AY420" t="inlineStr">
        <is>
          <t>2263161680002656</t>
        </is>
      </c>
      <c r="AZ420" t="inlineStr">
        <is>
          <t>BOOK</t>
        </is>
      </c>
      <c r="BB420" t="inlineStr">
        <is>
          <t>9781586481049</t>
        </is>
      </c>
      <c r="BC420" t="inlineStr">
        <is>
          <t>32285004686878</t>
        </is>
      </c>
      <c r="BD420" t="inlineStr">
        <is>
          <t>893693406</t>
        </is>
      </c>
    </row>
    <row r="421">
      <c r="A421" t="inlineStr">
        <is>
          <t>No</t>
        </is>
      </c>
      <c r="B421" t="inlineStr">
        <is>
          <t>HV5840.C7 M636 2004</t>
        </is>
      </c>
      <c r="C421" t="inlineStr">
        <is>
          <t>0                      HV 5840000C  7                  M  636         2004</t>
        </is>
      </c>
      <c r="D421" t="inlineStr">
        <is>
          <t>Loyal soldiers in the cocaine kingdom : tales of drugs, mules, and gunmen / Alfredo Molano ; translated by James Graham.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Molano, Alfredo.</t>
        </is>
      </c>
      <c r="L421" t="inlineStr">
        <is>
          <t>New York : Columbia University Press, c2004.</t>
        </is>
      </c>
      <c r="M421" t="inlineStr">
        <is>
          <t>2004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HV </t>
        </is>
      </c>
      <c r="S421" t="n">
        <v>5</v>
      </c>
      <c r="T421" t="n">
        <v>5</v>
      </c>
      <c r="U421" t="inlineStr">
        <is>
          <t>2005-12-07</t>
        </is>
      </c>
      <c r="V421" t="inlineStr">
        <is>
          <t>2005-12-07</t>
        </is>
      </c>
      <c r="W421" t="inlineStr">
        <is>
          <t>2004-06-09</t>
        </is>
      </c>
      <c r="X421" t="inlineStr">
        <is>
          <t>2004-06-09</t>
        </is>
      </c>
      <c r="Y421" t="n">
        <v>257</v>
      </c>
      <c r="Z421" t="n">
        <v>214</v>
      </c>
      <c r="AA421" t="n">
        <v>214</v>
      </c>
      <c r="AB421" t="n">
        <v>2</v>
      </c>
      <c r="AC421" t="n">
        <v>2</v>
      </c>
      <c r="AD421" t="n">
        <v>9</v>
      </c>
      <c r="AE421" t="n">
        <v>9</v>
      </c>
      <c r="AF421" t="n">
        <v>3</v>
      </c>
      <c r="AG421" t="n">
        <v>3</v>
      </c>
      <c r="AH421" t="n">
        <v>3</v>
      </c>
      <c r="AI421" t="n">
        <v>3</v>
      </c>
      <c r="AJ421" t="n">
        <v>7</v>
      </c>
      <c r="AK421" t="n">
        <v>7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HYPERLINK("https://creighton-primo.hosted.exlibrisgroup.com/primo-explore/search?tab=default_tab&amp;search_scope=EVERYTHING&amp;vid=01CRU&amp;lang=en_US&amp;offset=0&amp;query=any,contains,991004290079702656","Catalog Record")</f>
        <v/>
      </c>
      <c r="AT421">
        <f>HYPERLINK("http://www.worldcat.org/oclc/52819956","WorldCat Record")</f>
        <v/>
      </c>
      <c r="AU421" t="inlineStr">
        <is>
          <t>480057053:eng</t>
        </is>
      </c>
      <c r="AV421" t="inlineStr">
        <is>
          <t>52819956</t>
        </is>
      </c>
      <c r="AW421" t="inlineStr">
        <is>
          <t>991004290079702656</t>
        </is>
      </c>
      <c r="AX421" t="inlineStr">
        <is>
          <t>991004290079702656</t>
        </is>
      </c>
      <c r="AY421" t="inlineStr">
        <is>
          <t>2267994490002656</t>
        </is>
      </c>
      <c r="AZ421" t="inlineStr">
        <is>
          <t>BOOK</t>
        </is>
      </c>
      <c r="BB421" t="inlineStr">
        <is>
          <t>9780231129145</t>
        </is>
      </c>
      <c r="BC421" t="inlineStr">
        <is>
          <t>32285004908348</t>
        </is>
      </c>
      <c r="BD421" t="inlineStr">
        <is>
          <t>893331414</t>
        </is>
      </c>
    </row>
    <row r="422">
      <c r="A422" t="inlineStr">
        <is>
          <t>No</t>
        </is>
      </c>
      <c r="B422" t="inlineStr">
        <is>
          <t>HV5840.D65 R67 1998</t>
        </is>
      </c>
      <c r="C422" t="inlineStr">
        <is>
          <t>0                      HV 5840000D  65                 R  67          1998</t>
        </is>
      </c>
      <c r="D422" t="inlineStr">
        <is>
          <t>El reinado de Vincho Castillo : droga y política en República Dominicana / Fausto Rosario Adames.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Rosario Adames, Fausto.</t>
        </is>
      </c>
      <c r="L422" t="inlineStr">
        <is>
          <t>Santo Domingo : Impresos Vargas, c1998.</t>
        </is>
      </c>
      <c r="M422" t="inlineStr">
        <is>
          <t>1998</t>
        </is>
      </c>
      <c r="N422" t="inlineStr">
        <is>
          <t>1. ed.</t>
        </is>
      </c>
      <c r="O422" t="inlineStr">
        <is>
          <t>spa</t>
        </is>
      </c>
      <c r="P422" t="inlineStr">
        <is>
          <t xml:space="preserve">dr </t>
        </is>
      </c>
      <c r="R422" t="inlineStr">
        <is>
          <t xml:space="preserve">HV </t>
        </is>
      </c>
      <c r="S422" t="n">
        <v>1</v>
      </c>
      <c r="T422" t="n">
        <v>1</v>
      </c>
      <c r="U422" t="inlineStr">
        <is>
          <t>2002-09-03</t>
        </is>
      </c>
      <c r="V422" t="inlineStr">
        <is>
          <t>2002-09-03</t>
        </is>
      </c>
      <c r="W422" t="inlineStr">
        <is>
          <t>1998-07-28</t>
        </is>
      </c>
      <c r="X422" t="inlineStr">
        <is>
          <t>1998-07-28</t>
        </is>
      </c>
      <c r="Y422" t="n">
        <v>29</v>
      </c>
      <c r="Z422" t="n">
        <v>29</v>
      </c>
      <c r="AA422" t="n">
        <v>32</v>
      </c>
      <c r="AB422" t="n">
        <v>1</v>
      </c>
      <c r="AC422" t="n">
        <v>1</v>
      </c>
      <c r="AD422" t="n">
        <v>2</v>
      </c>
      <c r="AE422" t="n">
        <v>2</v>
      </c>
      <c r="AF422" t="n">
        <v>0</v>
      </c>
      <c r="AG422" t="n">
        <v>0</v>
      </c>
      <c r="AH422" t="n">
        <v>1</v>
      </c>
      <c r="AI422" t="n">
        <v>1</v>
      </c>
      <c r="AJ422" t="n">
        <v>1</v>
      </c>
      <c r="AK422" t="n">
        <v>1</v>
      </c>
      <c r="AL422" t="n">
        <v>0</v>
      </c>
      <c r="AM422" t="n">
        <v>0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HYPERLINK("https://creighton-primo.hosted.exlibrisgroup.com/primo-explore/search?tab=default_tab&amp;search_scope=EVERYTHING&amp;vid=01CRU&amp;lang=en_US&amp;offset=0&amp;query=any,contains,991002960589702656","Catalog Record")</f>
        <v/>
      </c>
      <c r="AT422">
        <f>HYPERLINK("http://www.worldcat.org/oclc/39556754","WorldCat Record")</f>
        <v/>
      </c>
      <c r="AU422" t="inlineStr">
        <is>
          <t>41529795:spa</t>
        </is>
      </c>
      <c r="AV422" t="inlineStr">
        <is>
          <t>39556754</t>
        </is>
      </c>
      <c r="AW422" t="inlineStr">
        <is>
          <t>991002960589702656</t>
        </is>
      </c>
      <c r="AX422" t="inlineStr">
        <is>
          <t>991002960589702656</t>
        </is>
      </c>
      <c r="AY422" t="inlineStr">
        <is>
          <t>2263958570002656</t>
        </is>
      </c>
      <c r="AZ422" t="inlineStr">
        <is>
          <t>BOOK</t>
        </is>
      </c>
      <c r="BC422" t="inlineStr">
        <is>
          <t>32285003402947</t>
        </is>
      </c>
      <c r="BD422" t="inlineStr">
        <is>
          <t>893786795</t>
        </is>
      </c>
    </row>
    <row r="423">
      <c r="A423" t="inlineStr">
        <is>
          <t>No</t>
        </is>
      </c>
      <c r="B423" t="inlineStr">
        <is>
          <t>HV5840.L4 P76 2001</t>
        </is>
      </c>
      <c r="C423" t="inlineStr">
        <is>
          <t>0                      HV 5840000L  4                  P  76          2001</t>
        </is>
      </c>
      <c r="D423" t="inlineStr">
        <is>
          <t>Proximité, travail social et toxicomanies : construction de nouvelles approches / sous la direction de Hyam Samaha Kahi.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Beyrouth, Liban : International Federation of Catholic Universities : École Libanaise de Formation Sociale, Université Saint-Joseph, 2001.</t>
        </is>
      </c>
      <c r="M423" t="inlineStr">
        <is>
          <t>2001</t>
        </is>
      </c>
      <c r="O423" t="inlineStr">
        <is>
          <t>fre</t>
        </is>
      </c>
      <c r="P423" t="inlineStr">
        <is>
          <t xml:space="preserve">le </t>
        </is>
      </c>
      <c r="Q423" t="inlineStr">
        <is>
          <t>Série internationale ; no. 6</t>
        </is>
      </c>
      <c r="R423" t="inlineStr">
        <is>
          <t xml:space="preserve">HV </t>
        </is>
      </c>
      <c r="S423" t="n">
        <v>1</v>
      </c>
      <c r="T423" t="n">
        <v>1</v>
      </c>
      <c r="U423" t="inlineStr">
        <is>
          <t>2002-04-10</t>
        </is>
      </c>
      <c r="V423" t="inlineStr">
        <is>
          <t>2002-04-10</t>
        </is>
      </c>
      <c r="W423" t="inlineStr">
        <is>
          <t>2002-04-02</t>
        </is>
      </c>
      <c r="X423" t="inlineStr">
        <is>
          <t>2002-04-02</t>
        </is>
      </c>
      <c r="Y423" t="n">
        <v>7</v>
      </c>
      <c r="Z423" t="n">
        <v>2</v>
      </c>
      <c r="AA423" t="n">
        <v>2</v>
      </c>
      <c r="AB423" t="n">
        <v>1</v>
      </c>
      <c r="AC423" t="n">
        <v>1</v>
      </c>
      <c r="AD423" t="n">
        <v>0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HYPERLINK("https://creighton-primo.hosted.exlibrisgroup.com/primo-explore/search?tab=default_tab&amp;search_scope=EVERYTHING&amp;vid=01CRU&amp;lang=en_US&amp;offset=0&amp;query=any,contains,991003783299702656","Catalog Record")</f>
        <v/>
      </c>
      <c r="AT423">
        <f>HYPERLINK("http://www.worldcat.org/oclc/49349023","WorldCat Record")</f>
        <v/>
      </c>
      <c r="AU423" t="inlineStr">
        <is>
          <t>1364129155:fre</t>
        </is>
      </c>
      <c r="AV423" t="inlineStr">
        <is>
          <t>49349023</t>
        </is>
      </c>
      <c r="AW423" t="inlineStr">
        <is>
          <t>991003783299702656</t>
        </is>
      </c>
      <c r="AX423" t="inlineStr">
        <is>
          <t>991003783299702656</t>
        </is>
      </c>
      <c r="AY423" t="inlineStr">
        <is>
          <t>2255050450002656</t>
        </is>
      </c>
      <c r="AZ423" t="inlineStr">
        <is>
          <t>BOOK</t>
        </is>
      </c>
      <c r="BB423" t="inlineStr">
        <is>
          <t>9782911048128</t>
        </is>
      </c>
      <c r="BC423" t="inlineStr">
        <is>
          <t>32285004423587</t>
        </is>
      </c>
      <c r="BD423" t="inlineStr">
        <is>
          <t>893800165</t>
        </is>
      </c>
    </row>
    <row r="424">
      <c r="A424" t="inlineStr">
        <is>
          <t>No</t>
        </is>
      </c>
      <c r="B424" t="inlineStr">
        <is>
          <t>HV593.G7 W5 1983</t>
        </is>
      </c>
      <c r="C424" t="inlineStr">
        <is>
          <t>0                      HV 0593000G  7                  W  5           1983</t>
        </is>
      </c>
      <c r="D424" t="inlineStr">
        <is>
          <t>A bridge of people : a personal view of Oxfam's first forty years / Ben Whitaker ; with a foreword by Conor Cruise O'Brien.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Whitaker, Ben, 1934-2014.</t>
        </is>
      </c>
      <c r="L424" t="inlineStr">
        <is>
          <t>London : Heinemann, c1983, 1984 printing.</t>
        </is>
      </c>
      <c r="M424" t="inlineStr">
        <is>
          <t>1983</t>
        </is>
      </c>
      <c r="O424" t="inlineStr">
        <is>
          <t>eng</t>
        </is>
      </c>
      <c r="P424" t="inlineStr">
        <is>
          <t>enk</t>
        </is>
      </c>
      <c r="R424" t="inlineStr">
        <is>
          <t xml:space="preserve">HV </t>
        </is>
      </c>
      <c r="S424" t="n">
        <v>8</v>
      </c>
      <c r="T424" t="n">
        <v>8</v>
      </c>
      <c r="U424" t="inlineStr">
        <is>
          <t>2006-10-30</t>
        </is>
      </c>
      <c r="V424" t="inlineStr">
        <is>
          <t>2006-10-30</t>
        </is>
      </c>
      <c r="W424" t="inlineStr">
        <is>
          <t>1993-05-18</t>
        </is>
      </c>
      <c r="X424" t="inlineStr">
        <is>
          <t>1993-05-18</t>
        </is>
      </c>
      <c r="Y424" t="n">
        <v>301</v>
      </c>
      <c r="Z424" t="n">
        <v>196</v>
      </c>
      <c r="AA424" t="n">
        <v>203</v>
      </c>
      <c r="AB424" t="n">
        <v>1</v>
      </c>
      <c r="AC424" t="n">
        <v>1</v>
      </c>
      <c r="AD424" t="n">
        <v>11</v>
      </c>
      <c r="AE424" t="n">
        <v>12</v>
      </c>
      <c r="AF424" t="n">
        <v>2</v>
      </c>
      <c r="AG424" t="n">
        <v>3</v>
      </c>
      <c r="AH424" t="n">
        <v>5</v>
      </c>
      <c r="AI424" t="n">
        <v>5</v>
      </c>
      <c r="AJ424" t="n">
        <v>6</v>
      </c>
      <c r="AK424" t="n">
        <v>7</v>
      </c>
      <c r="AL424" t="n">
        <v>0</v>
      </c>
      <c r="AM424" t="n">
        <v>0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HYPERLINK("http://catalog.hathitrust.org/Record/002198507","HathiTrust Record")</f>
        <v/>
      </c>
      <c r="AS424">
        <f>HYPERLINK("https://creighton-primo.hosted.exlibrisgroup.com/primo-explore/search?tab=default_tab&amp;search_scope=EVERYTHING&amp;vid=01CRU&amp;lang=en_US&amp;offset=0&amp;query=any,contains,991000315539702656","Catalog Record")</f>
        <v/>
      </c>
      <c r="AT424">
        <f>HYPERLINK("http://www.worldcat.org/oclc/10118290","WorldCat Record")</f>
        <v/>
      </c>
      <c r="AU424" t="inlineStr">
        <is>
          <t>367800469:eng</t>
        </is>
      </c>
      <c r="AV424" t="inlineStr">
        <is>
          <t>10118290</t>
        </is>
      </c>
      <c r="AW424" t="inlineStr">
        <is>
          <t>991000315539702656</t>
        </is>
      </c>
      <c r="AX424" t="inlineStr">
        <is>
          <t>991000315539702656</t>
        </is>
      </c>
      <c r="AY424" t="inlineStr">
        <is>
          <t>2259087740002656</t>
        </is>
      </c>
      <c r="AZ424" t="inlineStr">
        <is>
          <t>BOOK</t>
        </is>
      </c>
      <c r="BB424" t="inlineStr">
        <is>
          <t>9780434862757</t>
        </is>
      </c>
      <c r="BC424" t="inlineStr">
        <is>
          <t>32285001682011</t>
        </is>
      </c>
      <c r="BD424" t="inlineStr">
        <is>
          <t>893714484</t>
        </is>
      </c>
    </row>
    <row r="425">
      <c r="A425" t="inlineStr">
        <is>
          <t>No</t>
        </is>
      </c>
      <c r="B425" t="inlineStr">
        <is>
          <t>HV6001 .A37 1999, v.8</t>
        </is>
      </c>
      <c r="C425" t="inlineStr">
        <is>
          <t>0                      HV 6001000A  37          1999                                        v.8</t>
        </is>
      </c>
      <c r="D425" t="inlineStr">
        <is>
          <t>The criminology of criminal law / edited by William S. Laufer, Freda Adler ; with a foreword by Gerhard O.W. Mueller.</t>
        </is>
      </c>
      <c r="E425" t="inlineStr">
        <is>
          <t>V. 8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New Brunswick, N.J. : Transaction, c1999.</t>
        </is>
      </c>
      <c r="M425" t="inlineStr">
        <is>
          <t>1999</t>
        </is>
      </c>
      <c r="O425" t="inlineStr">
        <is>
          <t>eng</t>
        </is>
      </c>
      <c r="P425" t="inlineStr">
        <is>
          <t>nju</t>
        </is>
      </c>
      <c r="Q425" t="inlineStr">
        <is>
          <t>Advances in criminological theory, 0894-2366 ; v. 8</t>
        </is>
      </c>
      <c r="R425" t="inlineStr">
        <is>
          <t xml:space="preserve">HV </t>
        </is>
      </c>
      <c r="S425" t="n">
        <v>5</v>
      </c>
      <c r="T425" t="n">
        <v>5</v>
      </c>
      <c r="U425" t="inlineStr">
        <is>
          <t>2000-08-26</t>
        </is>
      </c>
      <c r="V425" t="inlineStr">
        <is>
          <t>2000-08-26</t>
        </is>
      </c>
      <c r="W425" t="inlineStr">
        <is>
          <t>1999-08-19</t>
        </is>
      </c>
      <c r="X425" t="inlineStr">
        <is>
          <t>1999-08-19</t>
        </is>
      </c>
      <c r="Y425" t="n">
        <v>271</v>
      </c>
      <c r="Z425" t="n">
        <v>219</v>
      </c>
      <c r="AA425" t="n">
        <v>252</v>
      </c>
      <c r="AB425" t="n">
        <v>2</v>
      </c>
      <c r="AC425" t="n">
        <v>2</v>
      </c>
      <c r="AD425" t="n">
        <v>17</v>
      </c>
      <c r="AE425" t="n">
        <v>17</v>
      </c>
      <c r="AF425" t="n">
        <v>2</v>
      </c>
      <c r="AG425" t="n">
        <v>2</v>
      </c>
      <c r="AH425" t="n">
        <v>2</v>
      </c>
      <c r="AI425" t="n">
        <v>2</v>
      </c>
      <c r="AJ425" t="n">
        <v>7</v>
      </c>
      <c r="AK425" t="n">
        <v>7</v>
      </c>
      <c r="AL425" t="n">
        <v>1</v>
      </c>
      <c r="AM425" t="n">
        <v>1</v>
      </c>
      <c r="AN425" t="n">
        <v>7</v>
      </c>
      <c r="AO425" t="n">
        <v>7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HYPERLINK("https://creighton-primo.hosted.exlibrisgroup.com/primo-explore/search?tab=default_tab&amp;search_scope=EVERYTHING&amp;vid=01CRU&amp;lang=en_US&amp;offset=0&amp;query=any,contains,991003000539702656","Catalog Record")</f>
        <v/>
      </c>
      <c r="AT425">
        <f>HYPERLINK("http://www.worldcat.org/oclc/40644755","WorldCat Record")</f>
        <v/>
      </c>
      <c r="AU425" t="inlineStr">
        <is>
          <t>502201949:eng</t>
        </is>
      </c>
      <c r="AV425" t="inlineStr">
        <is>
          <t>40644755</t>
        </is>
      </c>
      <c r="AW425" t="inlineStr">
        <is>
          <t>991003000539702656</t>
        </is>
      </c>
      <c r="AX425" t="inlineStr">
        <is>
          <t>991003000539702656</t>
        </is>
      </c>
      <c r="AY425" t="inlineStr">
        <is>
          <t>2261357000002656</t>
        </is>
      </c>
      <c r="AZ425" t="inlineStr">
        <is>
          <t>BOOK</t>
        </is>
      </c>
      <c r="BB425" t="inlineStr">
        <is>
          <t>9781560003298</t>
        </is>
      </c>
      <c r="BC425" t="inlineStr">
        <is>
          <t>32285003583175</t>
        </is>
      </c>
      <c r="BD425" t="inlineStr">
        <is>
          <t>893348222</t>
        </is>
      </c>
    </row>
    <row r="426">
      <c r="A426" t="inlineStr">
        <is>
          <t>No</t>
        </is>
      </c>
      <c r="B426" t="inlineStr">
        <is>
          <t>HV6001 .E85 1997</t>
        </is>
      </c>
      <c r="C426" t="inlineStr">
        <is>
          <t>0                      HV 6001000E  85          1997</t>
        </is>
      </c>
      <c r="D426" t="inlineStr">
        <is>
          <t>Ethnicity, crime, and immigration : comparative and cross-national perspectives / edited by Michael Tonry.</t>
        </is>
      </c>
      <c r="E426" t="inlineStr">
        <is>
          <t>V. 21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L426" t="inlineStr">
        <is>
          <t>Chicago : University of Chicago Press, 1997.</t>
        </is>
      </c>
      <c r="M426" t="inlineStr">
        <is>
          <t>1997</t>
        </is>
      </c>
      <c r="O426" t="inlineStr">
        <is>
          <t>eng</t>
        </is>
      </c>
      <c r="P426" t="inlineStr">
        <is>
          <t>ilu</t>
        </is>
      </c>
      <c r="Q426" t="inlineStr">
        <is>
          <t>Crime and justice, 0192-3234 ; v. 21</t>
        </is>
      </c>
      <c r="R426" t="inlineStr">
        <is>
          <t xml:space="preserve">HV </t>
        </is>
      </c>
      <c r="S426" t="n">
        <v>3</v>
      </c>
      <c r="T426" t="n">
        <v>3</v>
      </c>
      <c r="U426" t="inlineStr">
        <is>
          <t>2008-01-22</t>
        </is>
      </c>
      <c r="V426" t="inlineStr">
        <is>
          <t>2008-01-22</t>
        </is>
      </c>
      <c r="W426" t="inlineStr">
        <is>
          <t>2000-08-01</t>
        </is>
      </c>
      <c r="X426" t="inlineStr">
        <is>
          <t>2000-08-01</t>
        </is>
      </c>
      <c r="Y426" t="n">
        <v>463</v>
      </c>
      <c r="Z426" t="n">
        <v>353</v>
      </c>
      <c r="AA426" t="n">
        <v>358</v>
      </c>
      <c r="AB426" t="n">
        <v>5</v>
      </c>
      <c r="AC426" t="n">
        <v>5</v>
      </c>
      <c r="AD426" t="n">
        <v>19</v>
      </c>
      <c r="AE426" t="n">
        <v>19</v>
      </c>
      <c r="AF426" t="n">
        <v>5</v>
      </c>
      <c r="AG426" t="n">
        <v>5</v>
      </c>
      <c r="AH426" t="n">
        <v>2</v>
      </c>
      <c r="AI426" t="n">
        <v>2</v>
      </c>
      <c r="AJ426" t="n">
        <v>7</v>
      </c>
      <c r="AK426" t="n">
        <v>7</v>
      </c>
      <c r="AL426" t="n">
        <v>2</v>
      </c>
      <c r="AM426" t="n">
        <v>2</v>
      </c>
      <c r="AN426" t="n">
        <v>7</v>
      </c>
      <c r="AO426" t="n">
        <v>7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HYPERLINK("https://creighton-primo.hosted.exlibrisgroup.com/primo-explore/search?tab=default_tab&amp;search_scope=EVERYTHING&amp;vid=01CRU&amp;lang=en_US&amp;offset=0&amp;query=any,contains,991001672619702656","Catalog Record")</f>
        <v/>
      </c>
      <c r="AT426">
        <f>HYPERLINK("http://www.worldcat.org/oclc/35128068","WorldCat Record")</f>
        <v/>
      </c>
      <c r="AU426" t="inlineStr">
        <is>
          <t>836992568:eng</t>
        </is>
      </c>
      <c r="AV426" t="inlineStr">
        <is>
          <t>35128068</t>
        </is>
      </c>
      <c r="AW426" t="inlineStr">
        <is>
          <t>991001672619702656</t>
        </is>
      </c>
      <c r="AX426" t="inlineStr">
        <is>
          <t>991001672619702656</t>
        </is>
      </c>
      <c r="AY426" t="inlineStr">
        <is>
          <t>2271117960002656</t>
        </is>
      </c>
      <c r="AZ426" t="inlineStr">
        <is>
          <t>BOOK</t>
        </is>
      </c>
      <c r="BB426" t="inlineStr">
        <is>
          <t>9780226808277</t>
        </is>
      </c>
      <c r="BC426" t="inlineStr">
        <is>
          <t>32285003744652</t>
        </is>
      </c>
      <c r="BD426" t="inlineStr">
        <is>
          <t>893444754</t>
        </is>
      </c>
    </row>
    <row r="427">
      <c r="A427" t="inlineStr">
        <is>
          <t>No</t>
        </is>
      </c>
      <c r="B427" t="inlineStr">
        <is>
          <t>HV6018 .L55 1989</t>
        </is>
      </c>
      <c r="C427" t="inlineStr">
        <is>
          <t>0                      HV 6018000L  55          1989</t>
        </is>
      </c>
      <c r="D427" t="inlineStr">
        <is>
          <t>Criminological theory : context and consequences / by J. Robert Lilly, Francis T. Cullen, Richard A. Ball.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Lilly, J. Robert.</t>
        </is>
      </c>
      <c r="L427" t="inlineStr">
        <is>
          <t>Newbury Park, Calif. : Sage Publications, c1989.</t>
        </is>
      </c>
      <c r="M427" t="inlineStr">
        <is>
          <t>1989</t>
        </is>
      </c>
      <c r="O427" t="inlineStr">
        <is>
          <t>eng</t>
        </is>
      </c>
      <c r="P427" t="inlineStr">
        <is>
          <t>cau</t>
        </is>
      </c>
      <c r="Q427" t="inlineStr">
        <is>
          <t>Studies in crime, law, and justice ; v. 5</t>
        </is>
      </c>
      <c r="R427" t="inlineStr">
        <is>
          <t xml:space="preserve">HV </t>
        </is>
      </c>
      <c r="S427" t="n">
        <v>2</v>
      </c>
      <c r="T427" t="n">
        <v>2</v>
      </c>
      <c r="U427" t="inlineStr">
        <is>
          <t>2008-01-24</t>
        </is>
      </c>
      <c r="V427" t="inlineStr">
        <is>
          <t>2008-01-24</t>
        </is>
      </c>
      <c r="W427" t="inlineStr">
        <is>
          <t>1990-01-30</t>
        </is>
      </c>
      <c r="X427" t="inlineStr">
        <is>
          <t>1990-01-30</t>
        </is>
      </c>
      <c r="Y427" t="n">
        <v>466</v>
      </c>
      <c r="Z427" t="n">
        <v>355</v>
      </c>
      <c r="AA427" t="n">
        <v>708</v>
      </c>
      <c r="AB427" t="n">
        <v>3</v>
      </c>
      <c r="AC427" t="n">
        <v>6</v>
      </c>
      <c r="AD427" t="n">
        <v>25</v>
      </c>
      <c r="AE427" t="n">
        <v>46</v>
      </c>
      <c r="AF427" t="n">
        <v>7</v>
      </c>
      <c r="AG427" t="n">
        <v>17</v>
      </c>
      <c r="AH427" t="n">
        <v>4</v>
      </c>
      <c r="AI427" t="n">
        <v>8</v>
      </c>
      <c r="AJ427" t="n">
        <v>9</v>
      </c>
      <c r="AK427" t="n">
        <v>15</v>
      </c>
      <c r="AL427" t="n">
        <v>3</v>
      </c>
      <c r="AM427" t="n">
        <v>6</v>
      </c>
      <c r="AN427" t="n">
        <v>6</v>
      </c>
      <c r="AO427" t="n">
        <v>8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HYPERLINK("https://creighton-primo.hosted.exlibrisgroup.com/primo-explore/search?tab=default_tab&amp;search_scope=EVERYTHING&amp;vid=01CRU&amp;lang=en_US&amp;offset=0&amp;query=any,contains,991001392429702656","Catalog Record")</f>
        <v/>
      </c>
      <c r="AT427">
        <f>HYPERLINK("http://www.worldcat.org/oclc/18779024","WorldCat Record")</f>
        <v/>
      </c>
      <c r="AU427" t="inlineStr">
        <is>
          <t>796459657:eng</t>
        </is>
      </c>
      <c r="AV427" t="inlineStr">
        <is>
          <t>18779024</t>
        </is>
      </c>
      <c r="AW427" t="inlineStr">
        <is>
          <t>991001392429702656</t>
        </is>
      </c>
      <c r="AX427" t="inlineStr">
        <is>
          <t>991001392429702656</t>
        </is>
      </c>
      <c r="AY427" t="inlineStr">
        <is>
          <t>2256612680002656</t>
        </is>
      </c>
      <c r="AZ427" t="inlineStr">
        <is>
          <t>BOOK</t>
        </is>
      </c>
      <c r="BB427" t="inlineStr">
        <is>
          <t>9780803926394</t>
        </is>
      </c>
      <c r="BC427" t="inlineStr">
        <is>
          <t>32285000035880</t>
        </is>
      </c>
      <c r="BD427" t="inlineStr">
        <is>
          <t>893778768</t>
        </is>
      </c>
    </row>
    <row r="428">
      <c r="A428" t="inlineStr">
        <is>
          <t>No</t>
        </is>
      </c>
      <c r="B428" t="inlineStr">
        <is>
          <t>HV6022.D65 M67 2001</t>
        </is>
      </c>
      <c r="C428" t="inlineStr">
        <is>
          <t>0                      HV 6022000D  65                 M  67          2001</t>
        </is>
      </c>
      <c r="D428" t="inlineStr">
        <is>
          <t>Criminología y violencia urbana : (un análisis de la criminología y de la violencia urbana en la República Dominicana) / Wilfredo Mora.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Mora, Wilfredo, 1965-</t>
        </is>
      </c>
      <c r="L428" t="inlineStr">
        <is>
          <t>Santo Domingo : Editora Búho, 2001.</t>
        </is>
      </c>
      <c r="M428" t="inlineStr">
        <is>
          <t>2001</t>
        </is>
      </c>
      <c r="N428" t="inlineStr">
        <is>
          <t>1. ed.</t>
        </is>
      </c>
      <c r="O428" t="inlineStr">
        <is>
          <t>spa</t>
        </is>
      </c>
      <c r="P428" t="inlineStr">
        <is>
          <t xml:space="preserve">dr </t>
        </is>
      </c>
      <c r="Q428" t="inlineStr">
        <is>
          <t>Colección Pensamiento Criminológico Dominicano ; 1</t>
        </is>
      </c>
      <c r="R428" t="inlineStr">
        <is>
          <t xml:space="preserve">HV </t>
        </is>
      </c>
      <c r="S428" t="n">
        <v>1</v>
      </c>
      <c r="T428" t="n">
        <v>1</v>
      </c>
      <c r="U428" t="inlineStr">
        <is>
          <t>2002-02-21</t>
        </is>
      </c>
      <c r="V428" t="inlineStr">
        <is>
          <t>2002-02-21</t>
        </is>
      </c>
      <c r="W428" t="inlineStr">
        <is>
          <t>2002-02-21</t>
        </is>
      </c>
      <c r="X428" t="inlineStr">
        <is>
          <t>2002-02-21</t>
        </is>
      </c>
      <c r="Y428" t="n">
        <v>16</v>
      </c>
      <c r="Z428" t="n">
        <v>16</v>
      </c>
      <c r="AA428" t="n">
        <v>18</v>
      </c>
      <c r="AB428" t="n">
        <v>1</v>
      </c>
      <c r="AC428" t="n">
        <v>1</v>
      </c>
      <c r="AD428" t="n">
        <v>1</v>
      </c>
      <c r="AE428" t="n">
        <v>1</v>
      </c>
      <c r="AF428" t="n">
        <v>0</v>
      </c>
      <c r="AG428" t="n">
        <v>0</v>
      </c>
      <c r="AH428" t="n">
        <v>1</v>
      </c>
      <c r="AI428" t="n">
        <v>1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HYPERLINK("https://creighton-primo.hosted.exlibrisgroup.com/primo-explore/search?tab=default_tab&amp;search_scope=EVERYTHING&amp;vid=01CRU&amp;lang=en_US&amp;offset=0&amp;query=any,contains,991003744419702656","Catalog Record")</f>
        <v/>
      </c>
      <c r="AT428">
        <f>HYPERLINK("http://www.worldcat.org/oclc/48515389","WorldCat Record")</f>
        <v/>
      </c>
      <c r="AU428" t="inlineStr">
        <is>
          <t>37331806:spa</t>
        </is>
      </c>
      <c r="AV428" t="inlineStr">
        <is>
          <t>48515389</t>
        </is>
      </c>
      <c r="AW428" t="inlineStr">
        <is>
          <t>991003744419702656</t>
        </is>
      </c>
      <c r="AX428" t="inlineStr">
        <is>
          <t>991003744419702656</t>
        </is>
      </c>
      <c r="AY428" t="inlineStr">
        <is>
          <t>2256791490002656</t>
        </is>
      </c>
      <c r="AZ428" t="inlineStr">
        <is>
          <t>BOOK</t>
        </is>
      </c>
      <c r="BB428" t="inlineStr">
        <is>
          <t>9789993410010</t>
        </is>
      </c>
      <c r="BC428" t="inlineStr">
        <is>
          <t>32285004456736</t>
        </is>
      </c>
      <c r="BD428" t="inlineStr">
        <is>
          <t>893693105</t>
        </is>
      </c>
    </row>
    <row r="429">
      <c r="A429" t="inlineStr">
        <is>
          <t>No</t>
        </is>
      </c>
      <c r="B429" t="inlineStr">
        <is>
          <t>HV6022.U6 M47 1997</t>
        </is>
      </c>
      <c r="C429" t="inlineStr">
        <is>
          <t>0                      HV 6022000U  6                  M  47          1997</t>
        </is>
      </c>
      <c r="D429" t="inlineStr">
        <is>
          <t>Crime and the American dream / Steven F. Messner, Richard Rosenfeld.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Messner, Steven F., 1951-</t>
        </is>
      </c>
      <c r="L429" t="inlineStr">
        <is>
          <t>Belmont, CA : Wadsworth Pub. Co., c1997.</t>
        </is>
      </c>
      <c r="M429" t="inlineStr">
        <is>
          <t>1997</t>
        </is>
      </c>
      <c r="N429" t="inlineStr">
        <is>
          <t>2nd ed.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HV </t>
        </is>
      </c>
      <c r="S429" t="n">
        <v>3</v>
      </c>
      <c r="T429" t="n">
        <v>3</v>
      </c>
      <c r="U429" t="inlineStr">
        <is>
          <t>2003-12-01</t>
        </is>
      </c>
      <c r="V429" t="inlineStr">
        <is>
          <t>2003-12-01</t>
        </is>
      </c>
      <c r="W429" t="inlineStr">
        <is>
          <t>1997-03-19</t>
        </is>
      </c>
      <c r="X429" t="inlineStr">
        <is>
          <t>1997-03-19</t>
        </is>
      </c>
      <c r="Y429" t="n">
        <v>252</v>
      </c>
      <c r="Z429" t="n">
        <v>215</v>
      </c>
      <c r="AA429" t="n">
        <v>604</v>
      </c>
      <c r="AB429" t="n">
        <v>3</v>
      </c>
      <c r="AC429" t="n">
        <v>5</v>
      </c>
      <c r="AD429" t="n">
        <v>11</v>
      </c>
      <c r="AE429" t="n">
        <v>30</v>
      </c>
      <c r="AF429" t="n">
        <v>4</v>
      </c>
      <c r="AG429" t="n">
        <v>13</v>
      </c>
      <c r="AH429" t="n">
        <v>2</v>
      </c>
      <c r="AI429" t="n">
        <v>7</v>
      </c>
      <c r="AJ429" t="n">
        <v>5</v>
      </c>
      <c r="AK429" t="n">
        <v>13</v>
      </c>
      <c r="AL429" t="n">
        <v>2</v>
      </c>
      <c r="AM429" t="n">
        <v>4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HYPERLINK("http://catalog.hathitrust.org/Record/003165253","HathiTrust Record")</f>
        <v/>
      </c>
      <c r="AS429">
        <f>HYPERLINK("https://creighton-primo.hosted.exlibrisgroup.com/primo-explore/search?tab=default_tab&amp;search_scope=EVERYTHING&amp;vid=01CRU&amp;lang=en_US&amp;offset=0&amp;query=any,contains,991002695409702656","Catalog Record")</f>
        <v/>
      </c>
      <c r="AT429">
        <f>HYPERLINK("http://www.worldcat.org/oclc/35192364","WorldCat Record")</f>
        <v/>
      </c>
      <c r="AU429" t="inlineStr">
        <is>
          <t>30817073:eng</t>
        </is>
      </c>
      <c r="AV429" t="inlineStr">
        <is>
          <t>35192364</t>
        </is>
      </c>
      <c r="AW429" t="inlineStr">
        <is>
          <t>991002695409702656</t>
        </is>
      </c>
      <c r="AX429" t="inlineStr">
        <is>
          <t>991002695409702656</t>
        </is>
      </c>
      <c r="AY429" t="inlineStr">
        <is>
          <t>2256387970002656</t>
        </is>
      </c>
      <c r="AZ429" t="inlineStr">
        <is>
          <t>BOOK</t>
        </is>
      </c>
      <c r="BB429" t="inlineStr">
        <is>
          <t>9780534517663</t>
        </is>
      </c>
      <c r="BC429" t="inlineStr">
        <is>
          <t>32285002444551</t>
        </is>
      </c>
      <c r="BD429" t="inlineStr">
        <is>
          <t>893317146</t>
        </is>
      </c>
    </row>
    <row r="430">
      <c r="A430" t="inlineStr">
        <is>
          <t>No</t>
        </is>
      </c>
      <c r="B430" t="inlineStr">
        <is>
          <t>HV6023 .M322 1960a</t>
        </is>
      </c>
      <c r="C430" t="inlineStr">
        <is>
          <t>0                      HV 6023000M  322         1960a</t>
        </is>
      </c>
      <c r="D430" t="inlineStr">
        <is>
          <t>Pioneers in criminology / edited and introduced by Hermann Mannheim.</t>
        </is>
      </c>
      <c r="F430" t="inlineStr">
        <is>
          <t>No</t>
        </is>
      </c>
      <c r="G430" t="inlineStr">
        <is>
          <t>1</t>
        </is>
      </c>
      <c r="H430" t="inlineStr">
        <is>
          <t>Yes</t>
        </is>
      </c>
      <c r="I430" t="inlineStr">
        <is>
          <t>No</t>
        </is>
      </c>
      <c r="J430" t="inlineStr">
        <is>
          <t>0</t>
        </is>
      </c>
      <c r="L430" t="inlineStr">
        <is>
          <t>Chicago : Quadrangle Books, 1960.</t>
        </is>
      </c>
      <c r="M430" t="inlineStr">
        <is>
          <t>1960</t>
        </is>
      </c>
      <c r="O430" t="inlineStr">
        <is>
          <t>eng</t>
        </is>
      </c>
      <c r="P430" t="inlineStr">
        <is>
          <t>ilu</t>
        </is>
      </c>
      <c r="Q430" t="inlineStr">
        <is>
          <t>The library of criminology ; no. 1</t>
        </is>
      </c>
      <c r="R430" t="inlineStr">
        <is>
          <t xml:space="preserve">HV </t>
        </is>
      </c>
      <c r="S430" t="n">
        <v>1</v>
      </c>
      <c r="T430" t="n">
        <v>1</v>
      </c>
      <c r="U430" t="inlineStr">
        <is>
          <t>2009-12-15</t>
        </is>
      </c>
      <c r="V430" t="inlineStr">
        <is>
          <t>2009-12-15</t>
        </is>
      </c>
      <c r="W430" t="inlineStr">
        <is>
          <t>1993-12-13</t>
        </is>
      </c>
      <c r="X430" t="inlineStr">
        <is>
          <t>2006-06-09</t>
        </is>
      </c>
      <c r="Y430" t="n">
        <v>295</v>
      </c>
      <c r="Z430" t="n">
        <v>283</v>
      </c>
      <c r="AA430" t="n">
        <v>794</v>
      </c>
      <c r="AB430" t="n">
        <v>3</v>
      </c>
      <c r="AC430" t="n">
        <v>8</v>
      </c>
      <c r="AD430" t="n">
        <v>20</v>
      </c>
      <c r="AE430" t="n">
        <v>46</v>
      </c>
      <c r="AF430" t="n">
        <v>6</v>
      </c>
      <c r="AG430" t="n">
        <v>16</v>
      </c>
      <c r="AH430" t="n">
        <v>4</v>
      </c>
      <c r="AI430" t="n">
        <v>9</v>
      </c>
      <c r="AJ430" t="n">
        <v>10</v>
      </c>
      <c r="AK430" t="n">
        <v>19</v>
      </c>
      <c r="AL430" t="n">
        <v>1</v>
      </c>
      <c r="AM430" t="n">
        <v>5</v>
      </c>
      <c r="AN430" t="n">
        <v>4</v>
      </c>
      <c r="AO430" t="n">
        <v>7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HYPERLINK("https://creighton-primo.hosted.exlibrisgroup.com/primo-explore/search?tab=default_tab&amp;search_scope=EVERYTHING&amp;vid=01CRU&amp;lang=en_US&amp;offset=0&amp;query=any,contains,991001633339702656","Catalog Record")</f>
        <v/>
      </c>
      <c r="AT430">
        <f>HYPERLINK("http://www.worldcat.org/oclc/373513","WorldCat Record")</f>
        <v/>
      </c>
      <c r="AU430" t="inlineStr">
        <is>
          <t>772127900:eng</t>
        </is>
      </c>
      <c r="AV430" t="inlineStr">
        <is>
          <t>373513</t>
        </is>
      </c>
      <c r="AW430" t="inlineStr">
        <is>
          <t>991001633339702656</t>
        </is>
      </c>
      <c r="AX430" t="inlineStr">
        <is>
          <t>991001633339702656</t>
        </is>
      </c>
      <c r="AY430" t="inlineStr">
        <is>
          <t>2261231620002656</t>
        </is>
      </c>
      <c r="AZ430" t="inlineStr">
        <is>
          <t>BOOK</t>
        </is>
      </c>
      <c r="BB430" t="inlineStr">
        <is>
          <t>9780875851211</t>
        </is>
      </c>
      <c r="BC430" t="inlineStr">
        <is>
          <t>32285001808152</t>
        </is>
      </c>
      <c r="BD430" t="inlineStr">
        <is>
          <t>893516334</t>
        </is>
      </c>
    </row>
    <row r="431">
      <c r="A431" t="inlineStr">
        <is>
          <t>No</t>
        </is>
      </c>
      <c r="B431" t="inlineStr">
        <is>
          <t>HV6024.5 .B33 2003</t>
        </is>
      </c>
      <c r="C431" t="inlineStr">
        <is>
          <t>0                      HV 6024500B  33          2003</t>
        </is>
      </c>
      <c r="D431" t="inlineStr">
        <is>
          <t>The practice of research in criminology and criminal justice / Ronet Bachman, Russell K. Schutt.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Bachman, Ronet.</t>
        </is>
      </c>
      <c r="L431" t="inlineStr">
        <is>
          <t>Thousand Oaks, Calif. : Pine Forge Press, c2003.</t>
        </is>
      </c>
      <c r="M431" t="inlineStr">
        <is>
          <t>2003</t>
        </is>
      </c>
      <c r="N431" t="inlineStr">
        <is>
          <t>2nd ed.</t>
        </is>
      </c>
      <c r="O431" t="inlineStr">
        <is>
          <t>eng</t>
        </is>
      </c>
      <c r="P431" t="inlineStr">
        <is>
          <t>cau</t>
        </is>
      </c>
      <c r="R431" t="inlineStr">
        <is>
          <t xml:space="preserve">HV </t>
        </is>
      </c>
      <c r="S431" t="n">
        <v>4</v>
      </c>
      <c r="T431" t="n">
        <v>4</v>
      </c>
      <c r="U431" t="inlineStr">
        <is>
          <t>2009-09-08</t>
        </is>
      </c>
      <c r="V431" t="inlineStr">
        <is>
          <t>2009-09-08</t>
        </is>
      </c>
      <c r="W431" t="inlineStr">
        <is>
          <t>2005-03-22</t>
        </is>
      </c>
      <c r="X431" t="inlineStr">
        <is>
          <t>2005-03-22</t>
        </is>
      </c>
      <c r="Y431" t="n">
        <v>164</v>
      </c>
      <c r="Z431" t="n">
        <v>116</v>
      </c>
      <c r="AA431" t="n">
        <v>376</v>
      </c>
      <c r="AB431" t="n">
        <v>2</v>
      </c>
      <c r="AC431" t="n">
        <v>3</v>
      </c>
      <c r="AD431" t="n">
        <v>4</v>
      </c>
      <c r="AE431" t="n">
        <v>16</v>
      </c>
      <c r="AF431" t="n">
        <v>0</v>
      </c>
      <c r="AG431" t="n">
        <v>4</v>
      </c>
      <c r="AH431" t="n">
        <v>2</v>
      </c>
      <c r="AI431" t="n">
        <v>3</v>
      </c>
      <c r="AJ431" t="n">
        <v>3</v>
      </c>
      <c r="AK431" t="n">
        <v>8</v>
      </c>
      <c r="AL431" t="n">
        <v>1</v>
      </c>
      <c r="AM431" t="n">
        <v>2</v>
      </c>
      <c r="AN431" t="n">
        <v>0</v>
      </c>
      <c r="AO431" t="n">
        <v>2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HYPERLINK("https://creighton-primo.hosted.exlibrisgroup.com/primo-explore/search?tab=default_tab&amp;search_scope=EVERYTHING&amp;vid=01CRU&amp;lang=en_US&amp;offset=0&amp;query=any,contains,991004478769702656","Catalog Record")</f>
        <v/>
      </c>
      <c r="AT431">
        <f>HYPERLINK("http://www.worldcat.org/oclc/51460871","WorldCat Record")</f>
        <v/>
      </c>
      <c r="AU431" t="inlineStr">
        <is>
          <t>755591:eng</t>
        </is>
      </c>
      <c r="AV431" t="inlineStr">
        <is>
          <t>51460871</t>
        </is>
      </c>
      <c r="AW431" t="inlineStr">
        <is>
          <t>991004478769702656</t>
        </is>
      </c>
      <c r="AX431" t="inlineStr">
        <is>
          <t>991004478769702656</t>
        </is>
      </c>
      <c r="AY431" t="inlineStr">
        <is>
          <t>2270987670002656</t>
        </is>
      </c>
      <c r="AZ431" t="inlineStr">
        <is>
          <t>BOOK</t>
        </is>
      </c>
      <c r="BB431" t="inlineStr">
        <is>
          <t>9780761928775</t>
        </is>
      </c>
      <c r="BC431" t="inlineStr">
        <is>
          <t>32285004958624</t>
        </is>
      </c>
      <c r="BD431" t="inlineStr">
        <is>
          <t>893801004</t>
        </is>
      </c>
    </row>
    <row r="432">
      <c r="A432" t="inlineStr">
        <is>
          <t>No</t>
        </is>
      </c>
      <c r="B432" t="inlineStr">
        <is>
          <t>HV6025 .F39</t>
        </is>
      </c>
      <c r="C432" t="inlineStr">
        <is>
          <t>0                      HV 6025000F  39</t>
        </is>
      </c>
      <c r="D432" t="inlineStr">
        <is>
          <t>Criminal behaviour : a psychological analysis / M. Philip Feldman.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Feldman, M. Philip (Maurice Philip)</t>
        </is>
      </c>
      <c r="L432" t="inlineStr">
        <is>
          <t>London ; New York : Wiley,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enk</t>
        </is>
      </c>
      <c r="R432" t="inlineStr">
        <is>
          <t xml:space="preserve">HV </t>
        </is>
      </c>
      <c r="S432" t="n">
        <v>1</v>
      </c>
      <c r="T432" t="n">
        <v>1</v>
      </c>
      <c r="U432" t="inlineStr">
        <is>
          <t>2004-02-18</t>
        </is>
      </c>
      <c r="V432" t="inlineStr">
        <is>
          <t>2004-02-18</t>
        </is>
      </c>
      <c r="W432" t="inlineStr">
        <is>
          <t>1997-08-22</t>
        </is>
      </c>
      <c r="X432" t="inlineStr">
        <is>
          <t>1997-08-22</t>
        </is>
      </c>
      <c r="Y432" t="n">
        <v>557</v>
      </c>
      <c r="Z432" t="n">
        <v>395</v>
      </c>
      <c r="AA432" t="n">
        <v>408</v>
      </c>
      <c r="AB432" t="n">
        <v>2</v>
      </c>
      <c r="AC432" t="n">
        <v>2</v>
      </c>
      <c r="AD432" t="n">
        <v>18</v>
      </c>
      <c r="AE432" t="n">
        <v>19</v>
      </c>
      <c r="AF432" t="n">
        <v>6</v>
      </c>
      <c r="AG432" t="n">
        <v>6</v>
      </c>
      <c r="AH432" t="n">
        <v>6</v>
      </c>
      <c r="AI432" t="n">
        <v>6</v>
      </c>
      <c r="AJ432" t="n">
        <v>8</v>
      </c>
      <c r="AK432" t="n">
        <v>9</v>
      </c>
      <c r="AL432" t="n">
        <v>1</v>
      </c>
      <c r="AM432" t="n">
        <v>1</v>
      </c>
      <c r="AN432" t="n">
        <v>2</v>
      </c>
      <c r="AO432" t="n">
        <v>2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HYPERLINK("https://creighton-primo.hosted.exlibrisgroup.com/primo-explore/search?tab=default_tab&amp;search_scope=EVERYTHING&amp;vid=01CRU&amp;lang=en_US&amp;offset=0&amp;query=any,contains,991004046339702656","Catalog Record")</f>
        <v/>
      </c>
      <c r="AT432">
        <f>HYPERLINK("http://www.worldcat.org/oclc/2202403","WorldCat Record")</f>
        <v/>
      </c>
      <c r="AU432" t="inlineStr">
        <is>
          <t>909679111:eng</t>
        </is>
      </c>
      <c r="AV432" t="inlineStr">
        <is>
          <t>2202403</t>
        </is>
      </c>
      <c r="AW432" t="inlineStr">
        <is>
          <t>991004046339702656</t>
        </is>
      </c>
      <c r="AX432" t="inlineStr">
        <is>
          <t>991004046339702656</t>
        </is>
      </c>
      <c r="AY432" t="inlineStr">
        <is>
          <t>2258637980002656</t>
        </is>
      </c>
      <c r="AZ432" t="inlineStr">
        <is>
          <t>BOOK</t>
        </is>
      </c>
      <c r="BB432" t="inlineStr">
        <is>
          <t>9780471994015</t>
        </is>
      </c>
      <c r="BC432" t="inlineStr">
        <is>
          <t>32285003157798</t>
        </is>
      </c>
      <c r="BD432" t="inlineStr">
        <is>
          <t>893705938</t>
        </is>
      </c>
    </row>
    <row r="433">
      <c r="A433" t="inlineStr">
        <is>
          <t>No</t>
        </is>
      </c>
      <c r="B433" t="inlineStr">
        <is>
          <t>HV6025 .R39 1992</t>
        </is>
      </c>
      <c r="C433" t="inlineStr">
        <is>
          <t>0                      HV 6025000R  39          1992</t>
        </is>
      </c>
      <c r="D433" t="inlineStr">
        <is>
          <t>Realist criminology : crime control and policing in the 1990s / edited by John Lowman, Brian D. MacLean.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L433" t="inlineStr">
        <is>
          <t>Toronto ; Buffalo : University of Toronto Press, c1992.</t>
        </is>
      </c>
      <c r="M433" t="inlineStr">
        <is>
          <t>1992</t>
        </is>
      </c>
      <c r="O433" t="inlineStr">
        <is>
          <t>eng</t>
        </is>
      </c>
      <c r="P433" t="inlineStr">
        <is>
          <t>onc</t>
        </is>
      </c>
      <c r="R433" t="inlineStr">
        <is>
          <t xml:space="preserve">HV </t>
        </is>
      </c>
      <c r="S433" t="n">
        <v>7</v>
      </c>
      <c r="T433" t="n">
        <v>7</v>
      </c>
      <c r="U433" t="inlineStr">
        <is>
          <t>2009-02-16</t>
        </is>
      </c>
      <c r="V433" t="inlineStr">
        <is>
          <t>2009-02-16</t>
        </is>
      </c>
      <c r="W433" t="inlineStr">
        <is>
          <t>1993-09-28</t>
        </is>
      </c>
      <c r="X433" t="inlineStr">
        <is>
          <t>1993-09-28</t>
        </is>
      </c>
      <c r="Y433" t="n">
        <v>285</v>
      </c>
      <c r="Z433" t="n">
        <v>179</v>
      </c>
      <c r="AA433" t="n">
        <v>229</v>
      </c>
      <c r="AB433" t="n">
        <v>3</v>
      </c>
      <c r="AC433" t="n">
        <v>3</v>
      </c>
      <c r="AD433" t="n">
        <v>13</v>
      </c>
      <c r="AE433" t="n">
        <v>18</v>
      </c>
      <c r="AF433" t="n">
        <v>3</v>
      </c>
      <c r="AG433" t="n">
        <v>7</v>
      </c>
      <c r="AH433" t="n">
        <v>3</v>
      </c>
      <c r="AI433" t="n">
        <v>4</v>
      </c>
      <c r="AJ433" t="n">
        <v>6</v>
      </c>
      <c r="AK433" t="n">
        <v>7</v>
      </c>
      <c r="AL433" t="n">
        <v>2</v>
      </c>
      <c r="AM433" t="n">
        <v>2</v>
      </c>
      <c r="AN433" t="n">
        <v>2</v>
      </c>
      <c r="AO433" t="n">
        <v>2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HYPERLINK("http://catalog.hathitrust.org/Record/002718105","HathiTrust Record")</f>
        <v/>
      </c>
      <c r="AS433">
        <f>HYPERLINK("https://creighton-primo.hosted.exlibrisgroup.com/primo-explore/search?tab=default_tab&amp;search_scope=EVERYTHING&amp;vid=01CRU&amp;lang=en_US&amp;offset=0&amp;query=any,contains,991002143959702656","Catalog Record")</f>
        <v/>
      </c>
      <c r="AT433">
        <f>HYPERLINK("http://www.worldcat.org/oclc/27520563","WorldCat Record")</f>
        <v/>
      </c>
      <c r="AU433" t="inlineStr">
        <is>
          <t>890942665:eng</t>
        </is>
      </c>
      <c r="AV433" t="inlineStr">
        <is>
          <t>27520563</t>
        </is>
      </c>
      <c r="AW433" t="inlineStr">
        <is>
          <t>991002143959702656</t>
        </is>
      </c>
      <c r="AX433" t="inlineStr">
        <is>
          <t>991002143959702656</t>
        </is>
      </c>
      <c r="AY433" t="inlineStr">
        <is>
          <t>2266613610002656</t>
        </is>
      </c>
      <c r="AZ433" t="inlineStr">
        <is>
          <t>BOOK</t>
        </is>
      </c>
      <c r="BB433" t="inlineStr">
        <is>
          <t>9780802028280</t>
        </is>
      </c>
      <c r="BC433" t="inlineStr">
        <is>
          <t>32285001768380</t>
        </is>
      </c>
      <c r="BD433" t="inlineStr">
        <is>
          <t>893703709</t>
        </is>
      </c>
    </row>
    <row r="434">
      <c r="A434" t="inlineStr">
        <is>
          <t>No</t>
        </is>
      </c>
      <c r="B434" t="inlineStr">
        <is>
          <t>HV6025 .S83 1974</t>
        </is>
      </c>
      <c r="C434" t="inlineStr">
        <is>
          <t>0                      HV 6025000S  83          1974</t>
        </is>
      </c>
      <c r="D434" t="inlineStr">
        <is>
          <t>Criminology / [by] Edwin H. Sutherland and Donald R. Cressey.</t>
        </is>
      </c>
      <c r="F434" t="inlineStr">
        <is>
          <t>No</t>
        </is>
      </c>
      <c r="G434" t="inlineStr">
        <is>
          <t>1</t>
        </is>
      </c>
      <c r="H434" t="inlineStr">
        <is>
          <t>Yes</t>
        </is>
      </c>
      <c r="I434" t="inlineStr">
        <is>
          <t>No</t>
        </is>
      </c>
      <c r="J434" t="inlineStr">
        <is>
          <t>0</t>
        </is>
      </c>
      <c r="K434" t="inlineStr">
        <is>
          <t>Sutherland, Edwin Hardin, 1883-1950.</t>
        </is>
      </c>
      <c r="L434" t="inlineStr">
        <is>
          <t>Philadelphia : Lippincott, [1974]</t>
        </is>
      </c>
      <c r="M434" t="inlineStr">
        <is>
          <t>1974</t>
        </is>
      </c>
      <c r="N434" t="inlineStr">
        <is>
          <t>9th ed.</t>
        </is>
      </c>
      <c r="O434" t="inlineStr">
        <is>
          <t>eng</t>
        </is>
      </c>
      <c r="P434" t="inlineStr">
        <is>
          <t>pau</t>
        </is>
      </c>
      <c r="R434" t="inlineStr">
        <is>
          <t xml:space="preserve">HV </t>
        </is>
      </c>
      <c r="S434" t="n">
        <v>2</v>
      </c>
      <c r="T434" t="n">
        <v>2</v>
      </c>
      <c r="U434" t="inlineStr">
        <is>
          <t>2008-02-02</t>
        </is>
      </c>
      <c r="V434" t="inlineStr">
        <is>
          <t>2008-02-02</t>
        </is>
      </c>
      <c r="W434" t="inlineStr">
        <is>
          <t>1992-02-11</t>
        </is>
      </c>
      <c r="X434" t="inlineStr">
        <is>
          <t>1992-07-21</t>
        </is>
      </c>
      <c r="Y434" t="n">
        <v>454</v>
      </c>
      <c r="Z434" t="n">
        <v>367</v>
      </c>
      <c r="AA434" t="n">
        <v>834</v>
      </c>
      <c r="AB434" t="n">
        <v>5</v>
      </c>
      <c r="AC434" t="n">
        <v>11</v>
      </c>
      <c r="AD434" t="n">
        <v>14</v>
      </c>
      <c r="AE434" t="n">
        <v>36</v>
      </c>
      <c r="AF434" t="n">
        <v>3</v>
      </c>
      <c r="AG434" t="n">
        <v>8</v>
      </c>
      <c r="AH434" t="n">
        <v>3</v>
      </c>
      <c r="AI434" t="n">
        <v>7</v>
      </c>
      <c r="AJ434" t="n">
        <v>5</v>
      </c>
      <c r="AK434" t="n">
        <v>11</v>
      </c>
      <c r="AL434" t="n">
        <v>3</v>
      </c>
      <c r="AM434" t="n">
        <v>6</v>
      </c>
      <c r="AN434" t="n">
        <v>3</v>
      </c>
      <c r="AO434" t="n">
        <v>10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HYPERLINK("http://catalog.hathitrust.org/Record/000014551","HathiTrust Record")</f>
        <v/>
      </c>
      <c r="AS434">
        <f>HYPERLINK("https://creighton-primo.hosted.exlibrisgroup.com/primo-explore/search?tab=default_tab&amp;search_scope=EVERYTHING&amp;vid=01CRU&amp;lang=en_US&amp;offset=0&amp;query=any,contains,991001687189702656","Catalog Record")</f>
        <v/>
      </c>
      <c r="AT434">
        <f>HYPERLINK("http://www.worldcat.org/oclc/914787","WorldCat Record")</f>
        <v/>
      </c>
      <c r="AU434" t="inlineStr">
        <is>
          <t>2279793996:eng</t>
        </is>
      </c>
      <c r="AV434" t="inlineStr">
        <is>
          <t>914787</t>
        </is>
      </c>
      <c r="AW434" t="inlineStr">
        <is>
          <t>991001687189702656</t>
        </is>
      </c>
      <c r="AX434" t="inlineStr">
        <is>
          <t>991001687189702656</t>
        </is>
      </c>
      <c r="AY434" t="inlineStr">
        <is>
          <t>2262763250002656</t>
        </is>
      </c>
      <c r="AZ434" t="inlineStr">
        <is>
          <t>BOOK</t>
        </is>
      </c>
      <c r="BB434" t="inlineStr">
        <is>
          <t>9780397472956</t>
        </is>
      </c>
      <c r="BC434" t="inlineStr">
        <is>
          <t>32285000955236</t>
        </is>
      </c>
      <c r="BD434" t="inlineStr">
        <is>
          <t>893529130</t>
        </is>
      </c>
    </row>
    <row r="435">
      <c r="A435" t="inlineStr">
        <is>
          <t>No</t>
        </is>
      </c>
      <c r="B435" t="inlineStr">
        <is>
          <t>HV6028 .R423 1985</t>
        </is>
      </c>
      <c r="C435" t="inlineStr">
        <is>
          <t>0                      HV 6028000R  423         1985</t>
        </is>
      </c>
      <c r="D435" t="inlineStr">
        <is>
          <t>Reactions to crime : the public, the police, courts, and prisons / edited by David P. Farrington and John Gunn.</t>
        </is>
      </c>
      <c r="F435" t="inlineStr">
        <is>
          <t>No</t>
        </is>
      </c>
      <c r="G435" t="inlineStr">
        <is>
          <t>1</t>
        </is>
      </c>
      <c r="H435" t="inlineStr">
        <is>
          <t>Yes</t>
        </is>
      </c>
      <c r="I435" t="inlineStr">
        <is>
          <t>No</t>
        </is>
      </c>
      <c r="J435" t="inlineStr">
        <is>
          <t>0</t>
        </is>
      </c>
      <c r="L435" t="inlineStr">
        <is>
          <t>Chichester ; New York : Wiley, c1985.</t>
        </is>
      </c>
      <c r="M435" t="inlineStr">
        <is>
          <t>1985</t>
        </is>
      </c>
      <c r="O435" t="inlineStr">
        <is>
          <t>eng</t>
        </is>
      </c>
      <c r="P435" t="inlineStr">
        <is>
          <t>enk</t>
        </is>
      </c>
      <c r="Q435" t="inlineStr">
        <is>
          <t>Current research in forensic psychiatry and psychology</t>
        </is>
      </c>
      <c r="R435" t="inlineStr">
        <is>
          <t xml:space="preserve">HV </t>
        </is>
      </c>
      <c r="S435" t="n">
        <v>3</v>
      </c>
      <c r="T435" t="n">
        <v>5</v>
      </c>
      <c r="U435" t="inlineStr">
        <is>
          <t>2004-02-18</t>
        </is>
      </c>
      <c r="V435" t="inlineStr">
        <is>
          <t>2004-02-18</t>
        </is>
      </c>
      <c r="W435" t="inlineStr">
        <is>
          <t>1991-12-13</t>
        </is>
      </c>
      <c r="X435" t="inlineStr">
        <is>
          <t>1991-12-13</t>
        </is>
      </c>
      <c r="Y435" t="n">
        <v>330</v>
      </c>
      <c r="Z435" t="n">
        <v>228</v>
      </c>
      <c r="AA435" t="n">
        <v>230</v>
      </c>
      <c r="AB435" t="n">
        <v>4</v>
      </c>
      <c r="AC435" t="n">
        <v>4</v>
      </c>
      <c r="AD435" t="n">
        <v>14</v>
      </c>
      <c r="AE435" t="n">
        <v>14</v>
      </c>
      <c r="AF435" t="n">
        <v>3</v>
      </c>
      <c r="AG435" t="n">
        <v>3</v>
      </c>
      <c r="AH435" t="n">
        <v>2</v>
      </c>
      <c r="AI435" t="n">
        <v>2</v>
      </c>
      <c r="AJ435" t="n">
        <v>7</v>
      </c>
      <c r="AK435" t="n">
        <v>7</v>
      </c>
      <c r="AL435" t="n">
        <v>2</v>
      </c>
      <c r="AM435" t="n">
        <v>2</v>
      </c>
      <c r="AN435" t="n">
        <v>4</v>
      </c>
      <c r="AO435" t="n">
        <v>4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HYPERLINK("http://catalog.hathitrust.org/Record/000418075","HathiTrust Record")</f>
        <v/>
      </c>
      <c r="AS435">
        <f>HYPERLINK("https://creighton-primo.hosted.exlibrisgroup.com/primo-explore/search?tab=default_tab&amp;search_scope=EVERYTHING&amp;vid=01CRU&amp;lang=en_US&amp;offset=0&amp;query=any,contains,991001767139702656","Catalog Record")</f>
        <v/>
      </c>
      <c r="AT435">
        <f>HYPERLINK("http://www.worldcat.org/oclc/11069028","WorldCat Record")</f>
        <v/>
      </c>
      <c r="AU435" t="inlineStr">
        <is>
          <t>138559779:eng</t>
        </is>
      </c>
      <c r="AV435" t="inlineStr">
        <is>
          <t>11069028</t>
        </is>
      </c>
      <c r="AW435" t="inlineStr">
        <is>
          <t>991001767139702656</t>
        </is>
      </c>
      <c r="AX435" t="inlineStr">
        <is>
          <t>991001767139702656</t>
        </is>
      </c>
      <c r="AY435" t="inlineStr">
        <is>
          <t>2260013480002656</t>
        </is>
      </c>
      <c r="AZ435" t="inlineStr">
        <is>
          <t>BOOK</t>
        </is>
      </c>
      <c r="BB435" t="inlineStr">
        <is>
          <t>9780471904977</t>
        </is>
      </c>
      <c r="BC435" t="inlineStr">
        <is>
          <t>32285000890870</t>
        </is>
      </c>
      <c r="BD435" t="inlineStr">
        <is>
          <t>893872785</t>
        </is>
      </c>
    </row>
    <row r="436">
      <c r="A436" t="inlineStr">
        <is>
          <t>No</t>
        </is>
      </c>
      <c r="B436" t="inlineStr">
        <is>
          <t>HV6028 .T49 1985</t>
        </is>
      </c>
      <c r="C436" t="inlineStr">
        <is>
          <t>0                      HV 6028000T  49          1985</t>
        </is>
      </c>
      <c r="D436" t="inlineStr">
        <is>
          <t>Theoretical methods in criminology / edited by Robert F. Meier.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Beverly Hills, Calif. : SAGE Publications, c1985.</t>
        </is>
      </c>
      <c r="M436" t="inlineStr">
        <is>
          <t>1985</t>
        </is>
      </c>
      <c r="O436" t="inlineStr">
        <is>
          <t>eng</t>
        </is>
      </c>
      <c r="P436" t="inlineStr">
        <is>
          <t>cau</t>
        </is>
      </c>
      <c r="R436" t="inlineStr">
        <is>
          <t xml:space="preserve">HV </t>
        </is>
      </c>
      <c r="S436" t="n">
        <v>7</v>
      </c>
      <c r="T436" t="n">
        <v>7</v>
      </c>
      <c r="U436" t="inlineStr">
        <is>
          <t>2008-01-31</t>
        </is>
      </c>
      <c r="V436" t="inlineStr">
        <is>
          <t>2008-01-31</t>
        </is>
      </c>
      <c r="W436" t="inlineStr">
        <is>
          <t>1992-07-07</t>
        </is>
      </c>
      <c r="X436" t="inlineStr">
        <is>
          <t>1992-07-07</t>
        </is>
      </c>
      <c r="Y436" t="n">
        <v>421</v>
      </c>
      <c r="Z436" t="n">
        <v>308</v>
      </c>
      <c r="AA436" t="n">
        <v>313</v>
      </c>
      <c r="AB436" t="n">
        <v>4</v>
      </c>
      <c r="AC436" t="n">
        <v>4</v>
      </c>
      <c r="AD436" t="n">
        <v>21</v>
      </c>
      <c r="AE436" t="n">
        <v>22</v>
      </c>
      <c r="AF436" t="n">
        <v>10</v>
      </c>
      <c r="AG436" t="n">
        <v>11</v>
      </c>
      <c r="AH436" t="n">
        <v>8</v>
      </c>
      <c r="AI436" t="n">
        <v>8</v>
      </c>
      <c r="AJ436" t="n">
        <v>10</v>
      </c>
      <c r="AK436" t="n">
        <v>11</v>
      </c>
      <c r="AL436" t="n">
        <v>3</v>
      </c>
      <c r="AM436" t="n">
        <v>3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HYPERLINK("http://catalog.hathitrust.org/Record/000352226","HathiTrust Record")</f>
        <v/>
      </c>
      <c r="AS436">
        <f>HYPERLINK("https://creighton-primo.hosted.exlibrisgroup.com/primo-explore/search?tab=default_tab&amp;search_scope=EVERYTHING&amp;vid=01CRU&amp;lang=en_US&amp;offset=0&amp;query=any,contains,991000558569702656","Catalog Record")</f>
        <v/>
      </c>
      <c r="AT436">
        <f>HYPERLINK("http://www.worldcat.org/oclc/11573910","WorldCat Record")</f>
        <v/>
      </c>
      <c r="AU436" t="inlineStr">
        <is>
          <t>54687136:eng</t>
        </is>
      </c>
      <c r="AV436" t="inlineStr">
        <is>
          <t>11573910</t>
        </is>
      </c>
      <c r="AW436" t="inlineStr">
        <is>
          <t>991000558569702656</t>
        </is>
      </c>
      <c r="AX436" t="inlineStr">
        <is>
          <t>991000558569702656</t>
        </is>
      </c>
      <c r="AY436" t="inlineStr">
        <is>
          <t>2264710770002656</t>
        </is>
      </c>
      <c r="AZ436" t="inlineStr">
        <is>
          <t>BOOK</t>
        </is>
      </c>
      <c r="BB436" t="inlineStr">
        <is>
          <t>9780803920989</t>
        </is>
      </c>
      <c r="BC436" t="inlineStr">
        <is>
          <t>32285001181295</t>
        </is>
      </c>
      <c r="BD436" t="inlineStr">
        <is>
          <t>893790637</t>
        </is>
      </c>
    </row>
    <row r="437">
      <c r="A437" t="inlineStr">
        <is>
          <t>No</t>
        </is>
      </c>
      <c r="B437" t="inlineStr">
        <is>
          <t>HV6030 .A73 1984</t>
        </is>
      </c>
      <c r="C437" t="inlineStr">
        <is>
          <t>0                      HV 6030000A  73          1984</t>
        </is>
      </c>
      <c r="D437" t="inlineStr">
        <is>
          <t>Violence and crime in cross-national perspective / Dane Archer and Rosemary Gartner.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Archer, Dane.</t>
        </is>
      </c>
      <c r="L437" t="inlineStr">
        <is>
          <t>New Haven : Yale University Press, c1984.</t>
        </is>
      </c>
      <c r="M437" t="inlineStr">
        <is>
          <t>1984</t>
        </is>
      </c>
      <c r="O437" t="inlineStr">
        <is>
          <t>eng</t>
        </is>
      </c>
      <c r="P437" t="inlineStr">
        <is>
          <t>ctu</t>
        </is>
      </c>
      <c r="R437" t="inlineStr">
        <is>
          <t xml:space="preserve">HV </t>
        </is>
      </c>
      <c r="S437" t="n">
        <v>7</v>
      </c>
      <c r="T437" t="n">
        <v>7</v>
      </c>
      <c r="U437" t="inlineStr">
        <is>
          <t>2009-09-27</t>
        </is>
      </c>
      <c r="V437" t="inlineStr">
        <is>
          <t>2009-09-27</t>
        </is>
      </c>
      <c r="W437" t="inlineStr">
        <is>
          <t>1992-07-07</t>
        </is>
      </c>
      <c r="X437" t="inlineStr">
        <is>
          <t>1992-07-07</t>
        </is>
      </c>
      <c r="Y437" t="n">
        <v>927</v>
      </c>
      <c r="Z437" t="n">
        <v>784</v>
      </c>
      <c r="AA437" t="n">
        <v>787</v>
      </c>
      <c r="AB437" t="n">
        <v>10</v>
      </c>
      <c r="AC437" t="n">
        <v>10</v>
      </c>
      <c r="AD437" t="n">
        <v>53</v>
      </c>
      <c r="AE437" t="n">
        <v>53</v>
      </c>
      <c r="AF437" t="n">
        <v>14</v>
      </c>
      <c r="AG437" t="n">
        <v>14</v>
      </c>
      <c r="AH437" t="n">
        <v>10</v>
      </c>
      <c r="AI437" t="n">
        <v>10</v>
      </c>
      <c r="AJ437" t="n">
        <v>19</v>
      </c>
      <c r="AK437" t="n">
        <v>19</v>
      </c>
      <c r="AL437" t="n">
        <v>8</v>
      </c>
      <c r="AM437" t="n">
        <v>8</v>
      </c>
      <c r="AN437" t="n">
        <v>13</v>
      </c>
      <c r="AO437" t="n">
        <v>13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HYPERLINK("https://creighton-primo.hosted.exlibrisgroup.com/primo-explore/search?tab=default_tab&amp;search_scope=EVERYTHING&amp;vid=01CRU&amp;lang=en_US&amp;offset=0&amp;query=any,contains,991000298199702656","Catalog Record")</f>
        <v/>
      </c>
      <c r="AT437">
        <f>HYPERLINK("http://www.worldcat.org/oclc/10018993","WorldCat Record")</f>
        <v/>
      </c>
      <c r="AU437" t="inlineStr">
        <is>
          <t>146745614:eng</t>
        </is>
      </c>
      <c r="AV437" t="inlineStr">
        <is>
          <t>10018993</t>
        </is>
      </c>
      <c r="AW437" t="inlineStr">
        <is>
          <t>991000298199702656</t>
        </is>
      </c>
      <c r="AX437" t="inlineStr">
        <is>
          <t>991000298199702656</t>
        </is>
      </c>
      <c r="AY437" t="inlineStr">
        <is>
          <t>2269280220002656</t>
        </is>
      </c>
      <c r="AZ437" t="inlineStr">
        <is>
          <t>BOOK</t>
        </is>
      </c>
      <c r="BB437" t="inlineStr">
        <is>
          <t>9780300031492</t>
        </is>
      </c>
      <c r="BC437" t="inlineStr">
        <is>
          <t>32285001181311</t>
        </is>
      </c>
      <c r="BD437" t="inlineStr">
        <is>
          <t>893601643</t>
        </is>
      </c>
    </row>
    <row r="438">
      <c r="A438" t="inlineStr">
        <is>
          <t>No</t>
        </is>
      </c>
      <c r="B438" t="inlineStr">
        <is>
          <t>HV6030 .C715 1998</t>
        </is>
      </c>
      <c r="C438" t="inlineStr">
        <is>
          <t>0                      HV 6030000C  715         1998</t>
        </is>
      </c>
      <c r="D438" t="inlineStr">
        <is>
          <t>Crime &amp; social exclusion / edited by Catherine Jones Finer and Mike Nellis.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Oxford, UK ; Malden, MA : Blackwell Publishers, c1998.</t>
        </is>
      </c>
      <c r="M438" t="inlineStr">
        <is>
          <t>1998</t>
        </is>
      </c>
      <c r="O438" t="inlineStr">
        <is>
          <t>eng</t>
        </is>
      </c>
      <c r="P438" t="inlineStr">
        <is>
          <t>enk</t>
        </is>
      </c>
      <c r="Q438" t="inlineStr">
        <is>
          <t>Broadening perspectives on social policy</t>
        </is>
      </c>
      <c r="R438" t="inlineStr">
        <is>
          <t xml:space="preserve">HV </t>
        </is>
      </c>
      <c r="S438" t="n">
        <v>1</v>
      </c>
      <c r="T438" t="n">
        <v>1</v>
      </c>
      <c r="U438" t="inlineStr">
        <is>
          <t>2005-04-04</t>
        </is>
      </c>
      <c r="V438" t="inlineStr">
        <is>
          <t>2005-04-04</t>
        </is>
      </c>
      <c r="W438" t="inlineStr">
        <is>
          <t>1998-07-21</t>
        </is>
      </c>
      <c r="X438" t="inlineStr">
        <is>
          <t>1998-07-21</t>
        </is>
      </c>
      <c r="Y438" t="n">
        <v>176</v>
      </c>
      <c r="Z438" t="n">
        <v>84</v>
      </c>
      <c r="AA438" t="n">
        <v>84</v>
      </c>
      <c r="AB438" t="n">
        <v>3</v>
      </c>
      <c r="AC438" t="n">
        <v>3</v>
      </c>
      <c r="AD438" t="n">
        <v>5</v>
      </c>
      <c r="AE438" t="n">
        <v>5</v>
      </c>
      <c r="AF438" t="n">
        <v>1</v>
      </c>
      <c r="AG438" t="n">
        <v>1</v>
      </c>
      <c r="AH438" t="n">
        <v>1</v>
      </c>
      <c r="AI438" t="n">
        <v>1</v>
      </c>
      <c r="AJ438" t="n">
        <v>2</v>
      </c>
      <c r="AK438" t="n">
        <v>2</v>
      </c>
      <c r="AL438" t="n">
        <v>2</v>
      </c>
      <c r="AM438" t="n">
        <v>2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HYPERLINK("https://creighton-primo.hosted.exlibrisgroup.com/primo-explore/search?tab=default_tab&amp;search_scope=EVERYTHING&amp;vid=01CRU&amp;lang=en_US&amp;offset=0&amp;query=any,contains,991002900709702656","Catalog Record")</f>
        <v/>
      </c>
      <c r="AT438">
        <f>HYPERLINK("http://www.worldcat.org/oclc/38248970","WorldCat Record")</f>
        <v/>
      </c>
      <c r="AU438" t="inlineStr">
        <is>
          <t>350158289:eng</t>
        </is>
      </c>
      <c r="AV438" t="inlineStr">
        <is>
          <t>38248970</t>
        </is>
      </c>
      <c r="AW438" t="inlineStr">
        <is>
          <t>991002900709702656</t>
        </is>
      </c>
      <c r="AX438" t="inlineStr">
        <is>
          <t>991002900709702656</t>
        </is>
      </c>
      <c r="AY438" t="inlineStr">
        <is>
          <t>2269875120002656</t>
        </is>
      </c>
      <c r="AZ438" t="inlineStr">
        <is>
          <t>BOOK</t>
        </is>
      </c>
      <c r="BB438" t="inlineStr">
        <is>
          <t>9780631209126</t>
        </is>
      </c>
      <c r="BC438" t="inlineStr">
        <is>
          <t>32285003433967</t>
        </is>
      </c>
      <c r="BD438" t="inlineStr">
        <is>
          <t>893251755</t>
        </is>
      </c>
    </row>
    <row r="439">
      <c r="A439" t="inlineStr">
        <is>
          <t>No</t>
        </is>
      </c>
      <c r="B439" t="inlineStr">
        <is>
          <t>HV6030 .T69 1995</t>
        </is>
      </c>
      <c r="C439" t="inlineStr">
        <is>
          <t>0                      HV 6030000T  69          1995</t>
        </is>
      </c>
      <c r="D439" t="inlineStr">
        <is>
          <t>Cultural criminology / Jeff Ferrell &amp; Clinton R. Sanders [editors].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Boston : Northeastern University Press, c1995.</t>
        </is>
      </c>
      <c r="M439" t="inlineStr">
        <is>
          <t>1995</t>
        </is>
      </c>
      <c r="O439" t="inlineStr">
        <is>
          <t>eng</t>
        </is>
      </c>
      <c r="P439" t="inlineStr">
        <is>
          <t>mau</t>
        </is>
      </c>
      <c r="R439" t="inlineStr">
        <is>
          <t xml:space="preserve">HV </t>
        </is>
      </c>
      <c r="S439" t="n">
        <v>4</v>
      </c>
      <c r="T439" t="n">
        <v>4</v>
      </c>
      <c r="U439" t="inlineStr">
        <is>
          <t>2009-09-08</t>
        </is>
      </c>
      <c r="V439" t="inlineStr">
        <is>
          <t>2009-09-08</t>
        </is>
      </c>
      <c r="W439" t="inlineStr">
        <is>
          <t>2001-12-12</t>
        </is>
      </c>
      <c r="X439" t="inlineStr">
        <is>
          <t>2001-12-12</t>
        </is>
      </c>
      <c r="Y439" t="n">
        <v>595</v>
      </c>
      <c r="Z439" t="n">
        <v>485</v>
      </c>
      <c r="AA439" t="n">
        <v>491</v>
      </c>
      <c r="AB439" t="n">
        <v>3</v>
      </c>
      <c r="AC439" t="n">
        <v>3</v>
      </c>
      <c r="AD439" t="n">
        <v>32</v>
      </c>
      <c r="AE439" t="n">
        <v>32</v>
      </c>
      <c r="AF439" t="n">
        <v>12</v>
      </c>
      <c r="AG439" t="n">
        <v>12</v>
      </c>
      <c r="AH439" t="n">
        <v>5</v>
      </c>
      <c r="AI439" t="n">
        <v>5</v>
      </c>
      <c r="AJ439" t="n">
        <v>16</v>
      </c>
      <c r="AK439" t="n">
        <v>16</v>
      </c>
      <c r="AL439" t="n">
        <v>2</v>
      </c>
      <c r="AM439" t="n">
        <v>2</v>
      </c>
      <c r="AN439" t="n">
        <v>4</v>
      </c>
      <c r="AO439" t="n">
        <v>4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HYPERLINK("http://catalog.hathitrust.org/Record/003016524","HathiTrust Record")</f>
        <v/>
      </c>
      <c r="AS439">
        <f>HYPERLINK("https://creighton-primo.hosted.exlibrisgroup.com/primo-explore/search?tab=default_tab&amp;search_scope=EVERYTHING&amp;vid=01CRU&amp;lang=en_US&amp;offset=0&amp;query=any,contains,991003680769702656","Catalog Record")</f>
        <v/>
      </c>
      <c r="AT439">
        <f>HYPERLINK("http://www.worldcat.org/oclc/32202676","WorldCat Record")</f>
        <v/>
      </c>
      <c r="AU439" t="inlineStr">
        <is>
          <t>356019967:eng</t>
        </is>
      </c>
      <c r="AV439" t="inlineStr">
        <is>
          <t>32202676</t>
        </is>
      </c>
      <c r="AW439" t="inlineStr">
        <is>
          <t>991003680769702656</t>
        </is>
      </c>
      <c r="AX439" t="inlineStr">
        <is>
          <t>991003680769702656</t>
        </is>
      </c>
      <c r="AY439" t="inlineStr">
        <is>
          <t>2269786540002656</t>
        </is>
      </c>
      <c r="AZ439" t="inlineStr">
        <is>
          <t>BOOK</t>
        </is>
      </c>
      <c r="BB439" t="inlineStr">
        <is>
          <t>9781555532352</t>
        </is>
      </c>
      <c r="BC439" t="inlineStr">
        <is>
          <t>32285004428396</t>
        </is>
      </c>
      <c r="BD439" t="inlineStr">
        <is>
          <t>893693025</t>
        </is>
      </c>
    </row>
    <row r="440">
      <c r="A440" t="inlineStr">
        <is>
          <t>No</t>
        </is>
      </c>
      <c r="B440" t="inlineStr">
        <is>
          <t>HV6041 .C7 v.18</t>
        </is>
      </c>
      <c r="C440" t="inlineStr">
        <is>
          <t>0                      HV 6041000C  7                                                       v.18</t>
        </is>
      </c>
      <c r="D440" t="inlineStr">
        <is>
          <t>Beyond the law : crime in complex organizations / edited by Michael Tonry and Albert J. Reiss, Jr.</t>
        </is>
      </c>
      <c r="E440" t="inlineStr">
        <is>
          <t>V. 18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L440" t="inlineStr">
        <is>
          <t>Chicago : University of Chicago, c1993.</t>
        </is>
      </c>
      <c r="M440" t="inlineStr">
        <is>
          <t>1993</t>
        </is>
      </c>
      <c r="O440" t="inlineStr">
        <is>
          <t>eng</t>
        </is>
      </c>
      <c r="P440" t="inlineStr">
        <is>
          <t>ilu</t>
        </is>
      </c>
      <c r="Q440" t="inlineStr">
        <is>
          <t>Crime and justice, 0192-3234 ; v. 18</t>
        </is>
      </c>
      <c r="R440" t="inlineStr">
        <is>
          <t xml:space="preserve">HV </t>
        </is>
      </c>
      <c r="S440" t="n">
        <v>1</v>
      </c>
      <c r="T440" t="n">
        <v>1</v>
      </c>
      <c r="U440" t="inlineStr">
        <is>
          <t>2000-08-24</t>
        </is>
      </c>
      <c r="V440" t="inlineStr">
        <is>
          <t>2000-08-24</t>
        </is>
      </c>
      <c r="W440" t="inlineStr">
        <is>
          <t>2000-08-24</t>
        </is>
      </c>
      <c r="X440" t="inlineStr">
        <is>
          <t>2000-08-24</t>
        </is>
      </c>
      <c r="Y440" t="n">
        <v>415</v>
      </c>
      <c r="Z440" t="n">
        <v>341</v>
      </c>
      <c r="AA440" t="n">
        <v>347</v>
      </c>
      <c r="AB440" t="n">
        <v>3</v>
      </c>
      <c r="AC440" t="n">
        <v>3</v>
      </c>
      <c r="AD440" t="n">
        <v>21</v>
      </c>
      <c r="AE440" t="n">
        <v>21</v>
      </c>
      <c r="AF440" t="n">
        <v>5</v>
      </c>
      <c r="AG440" t="n">
        <v>5</v>
      </c>
      <c r="AH440" t="n">
        <v>2</v>
      </c>
      <c r="AI440" t="n">
        <v>2</v>
      </c>
      <c r="AJ440" t="n">
        <v>7</v>
      </c>
      <c r="AK440" t="n">
        <v>7</v>
      </c>
      <c r="AL440" t="n">
        <v>2</v>
      </c>
      <c r="AM440" t="n">
        <v>2</v>
      </c>
      <c r="AN440" t="n">
        <v>7</v>
      </c>
      <c r="AO440" t="n">
        <v>7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HYPERLINK("https://creighton-primo.hosted.exlibrisgroup.com/primo-explore/search?tab=default_tab&amp;search_scope=EVERYTHING&amp;vid=01CRU&amp;lang=en_US&amp;offset=0&amp;query=any,contains,991003272029702656","Catalog Record")</f>
        <v/>
      </c>
      <c r="AT440">
        <f>HYPERLINK("http://www.worldcat.org/oclc/29030970","WorldCat Record")</f>
        <v/>
      </c>
      <c r="AU440" t="inlineStr">
        <is>
          <t>836923111:eng</t>
        </is>
      </c>
      <c r="AV440" t="inlineStr">
        <is>
          <t>29030970</t>
        </is>
      </c>
      <c r="AW440" t="inlineStr">
        <is>
          <t>991003272029702656</t>
        </is>
      </c>
      <c r="AX440" t="inlineStr">
        <is>
          <t>991003272029702656</t>
        </is>
      </c>
      <c r="AY440" t="inlineStr">
        <is>
          <t>2263610420002656</t>
        </is>
      </c>
      <c r="AZ440" t="inlineStr">
        <is>
          <t>BOOK</t>
        </is>
      </c>
      <c r="BB440" t="inlineStr">
        <is>
          <t>9780226808215</t>
        </is>
      </c>
      <c r="BC440" t="inlineStr">
        <is>
          <t>32285003759221</t>
        </is>
      </c>
      <c r="BD440" t="inlineStr">
        <is>
          <t>893627522</t>
        </is>
      </c>
    </row>
    <row r="441">
      <c r="A441" t="inlineStr">
        <is>
          <t>No</t>
        </is>
      </c>
      <c r="B441" t="inlineStr">
        <is>
          <t>HV6046 .B82</t>
        </is>
      </c>
      <c r="C441" t="inlineStr">
        <is>
          <t>0                      HV 6046000B  82</t>
        </is>
      </c>
      <c r="D441" t="inlineStr">
        <is>
          <t>Women, crime, and the criminal justice system / Lee H. Bowker, with contributions by Meda Chesney-Lind, Joy Pollock.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Bowker, Lee H.</t>
        </is>
      </c>
      <c r="L441" t="inlineStr">
        <is>
          <t>Lexington, Mass. : Lexington Books, c1978.</t>
        </is>
      </c>
      <c r="M441" t="inlineStr">
        <is>
          <t>1978</t>
        </is>
      </c>
      <c r="O441" t="inlineStr">
        <is>
          <t>eng</t>
        </is>
      </c>
      <c r="P441" t="inlineStr">
        <is>
          <t>mau</t>
        </is>
      </c>
      <c r="R441" t="inlineStr">
        <is>
          <t xml:space="preserve">HV </t>
        </is>
      </c>
      <c r="S441" t="n">
        <v>10</v>
      </c>
      <c r="T441" t="n">
        <v>10</v>
      </c>
      <c r="U441" t="inlineStr">
        <is>
          <t>2010-04-07</t>
        </is>
      </c>
      <c r="V441" t="inlineStr">
        <is>
          <t>2010-04-07</t>
        </is>
      </c>
      <c r="W441" t="inlineStr">
        <is>
          <t>1990-07-06</t>
        </is>
      </c>
      <c r="X441" t="inlineStr">
        <is>
          <t>1990-07-06</t>
        </is>
      </c>
      <c r="Y441" t="n">
        <v>592</v>
      </c>
      <c r="Z441" t="n">
        <v>489</v>
      </c>
      <c r="AA441" t="n">
        <v>492</v>
      </c>
      <c r="AB441" t="n">
        <v>4</v>
      </c>
      <c r="AC441" t="n">
        <v>4</v>
      </c>
      <c r="AD441" t="n">
        <v>30</v>
      </c>
      <c r="AE441" t="n">
        <v>30</v>
      </c>
      <c r="AF441" t="n">
        <v>11</v>
      </c>
      <c r="AG441" t="n">
        <v>11</v>
      </c>
      <c r="AH441" t="n">
        <v>6</v>
      </c>
      <c r="AI441" t="n">
        <v>6</v>
      </c>
      <c r="AJ441" t="n">
        <v>9</v>
      </c>
      <c r="AK441" t="n">
        <v>9</v>
      </c>
      <c r="AL441" t="n">
        <v>3</v>
      </c>
      <c r="AM441" t="n">
        <v>3</v>
      </c>
      <c r="AN441" t="n">
        <v>8</v>
      </c>
      <c r="AO441" t="n">
        <v>8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HYPERLINK("http://catalog.hathitrust.org/Record/000178311","HathiTrust Record")</f>
        <v/>
      </c>
      <c r="AS441">
        <f>HYPERLINK("https://creighton-primo.hosted.exlibrisgroup.com/primo-explore/search?tab=default_tab&amp;search_scope=EVERYTHING&amp;vid=01CRU&amp;lang=en_US&amp;offset=0&amp;query=any,contains,991004578409702656","Catalog Record")</f>
        <v/>
      </c>
      <c r="AT441">
        <f>HYPERLINK("http://www.worldcat.org/oclc/4055920","WorldCat Record")</f>
        <v/>
      </c>
      <c r="AU441" t="inlineStr">
        <is>
          <t>12660167:eng</t>
        </is>
      </c>
      <c r="AV441" t="inlineStr">
        <is>
          <t>4055920</t>
        </is>
      </c>
      <c r="AW441" t="inlineStr">
        <is>
          <t>991004578409702656</t>
        </is>
      </c>
      <c r="AX441" t="inlineStr">
        <is>
          <t>991004578409702656</t>
        </is>
      </c>
      <c r="AY441" t="inlineStr">
        <is>
          <t>2272057370002656</t>
        </is>
      </c>
      <c r="AZ441" t="inlineStr">
        <is>
          <t>BOOK</t>
        </is>
      </c>
      <c r="BB441" t="inlineStr">
        <is>
          <t>9780669023749</t>
        </is>
      </c>
      <c r="BC441" t="inlineStr">
        <is>
          <t>32285000226422</t>
        </is>
      </c>
      <c r="BD441" t="inlineStr">
        <is>
          <t>893895171</t>
        </is>
      </c>
    </row>
    <row r="442">
      <c r="A442" t="inlineStr">
        <is>
          <t>No</t>
        </is>
      </c>
      <c r="B442" t="inlineStr">
        <is>
          <t>HV6046 .D39 2009</t>
        </is>
      </c>
      <c r="C442" t="inlineStr">
        <is>
          <t>0                      HV 6046000D  39          2009</t>
        </is>
      </c>
      <c r="D442" t="inlineStr">
        <is>
          <t>The delinquent girl / edited by Margaret A. Zahn.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L442" t="inlineStr">
        <is>
          <t>Philadelphia : Temple University Press, 2009.</t>
        </is>
      </c>
      <c r="M442" t="inlineStr">
        <is>
          <t>2009</t>
        </is>
      </c>
      <c r="O442" t="inlineStr">
        <is>
          <t>eng</t>
        </is>
      </c>
      <c r="P442" t="inlineStr">
        <is>
          <t>pau</t>
        </is>
      </c>
      <c r="R442" t="inlineStr">
        <is>
          <t xml:space="preserve">HV </t>
        </is>
      </c>
      <c r="S442" t="n">
        <v>3</v>
      </c>
      <c r="T442" t="n">
        <v>3</v>
      </c>
      <c r="U442" t="inlineStr">
        <is>
          <t>2009-12-02</t>
        </is>
      </c>
      <c r="V442" t="inlineStr">
        <is>
          <t>2009-12-02</t>
        </is>
      </c>
      <c r="W442" t="inlineStr">
        <is>
          <t>2009-09-22</t>
        </is>
      </c>
      <c r="X442" t="inlineStr">
        <is>
          <t>2009-09-22</t>
        </is>
      </c>
      <c r="Y442" t="n">
        <v>826</v>
      </c>
      <c r="Z442" t="n">
        <v>740</v>
      </c>
      <c r="AA442" t="n">
        <v>1361</v>
      </c>
      <c r="AB442" t="n">
        <v>3</v>
      </c>
      <c r="AC442" t="n">
        <v>24</v>
      </c>
      <c r="AD442" t="n">
        <v>29</v>
      </c>
      <c r="AE442" t="n">
        <v>54</v>
      </c>
      <c r="AF442" t="n">
        <v>13</v>
      </c>
      <c r="AG442" t="n">
        <v>20</v>
      </c>
      <c r="AH442" t="n">
        <v>5</v>
      </c>
      <c r="AI442" t="n">
        <v>9</v>
      </c>
      <c r="AJ442" t="n">
        <v>13</v>
      </c>
      <c r="AK442" t="n">
        <v>20</v>
      </c>
      <c r="AL442" t="n">
        <v>2</v>
      </c>
      <c r="AM442" t="n">
        <v>12</v>
      </c>
      <c r="AN442" t="n">
        <v>2</v>
      </c>
      <c r="AO442" t="n">
        <v>3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HYPERLINK("https://creighton-primo.hosted.exlibrisgroup.com/primo-explore/search?tab=default_tab&amp;search_scope=EVERYTHING&amp;vid=01CRU&amp;lang=en_US&amp;offset=0&amp;query=any,contains,991005334579702656","Catalog Record")</f>
        <v/>
      </c>
      <c r="AT442">
        <f>HYPERLINK("http://www.worldcat.org/oclc/213765828","WorldCat Record")</f>
        <v/>
      </c>
      <c r="AU442" t="inlineStr">
        <is>
          <t>866287600:eng</t>
        </is>
      </c>
      <c r="AV442" t="inlineStr">
        <is>
          <t>213765828</t>
        </is>
      </c>
      <c r="AW442" t="inlineStr">
        <is>
          <t>991005334579702656</t>
        </is>
      </c>
      <c r="AX442" t="inlineStr">
        <is>
          <t>991005334579702656</t>
        </is>
      </c>
      <c r="AY442" t="inlineStr">
        <is>
          <t>2271820020002656</t>
        </is>
      </c>
      <c r="AZ442" t="inlineStr">
        <is>
          <t>BOOK</t>
        </is>
      </c>
      <c r="BB442" t="inlineStr">
        <is>
          <t>9781592139514</t>
        </is>
      </c>
      <c r="BC442" t="inlineStr">
        <is>
          <t>32285005545057</t>
        </is>
      </c>
      <c r="BD442" t="inlineStr">
        <is>
          <t>893501710</t>
        </is>
      </c>
    </row>
    <row r="443">
      <c r="A443" t="inlineStr">
        <is>
          <t>No</t>
        </is>
      </c>
      <c r="B443" t="inlineStr">
        <is>
          <t>HV6046 .F56 1995</t>
        </is>
      </c>
      <c r="C443" t="inlineStr">
        <is>
          <t>0                      HV 6046000F  56          1995</t>
        </is>
      </c>
      <c r="D443" t="inlineStr">
        <is>
          <t>Female crime, criminals, and cellmates : an exploration of female criminality and delinquency / by R. Barri Flowers.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Flowers, R. Barri (Ronald Barri)</t>
        </is>
      </c>
      <c r="L443" t="inlineStr">
        <is>
          <t>Jefferson, N.C. : McFarland &amp; Co., c1995.</t>
        </is>
      </c>
      <c r="M443" t="inlineStr">
        <is>
          <t>1995</t>
        </is>
      </c>
      <c r="O443" t="inlineStr">
        <is>
          <t>eng</t>
        </is>
      </c>
      <c r="P443" t="inlineStr">
        <is>
          <t>ncu</t>
        </is>
      </c>
      <c r="R443" t="inlineStr">
        <is>
          <t xml:space="preserve">HV </t>
        </is>
      </c>
      <c r="S443" t="n">
        <v>10</v>
      </c>
      <c r="T443" t="n">
        <v>10</v>
      </c>
      <c r="U443" t="inlineStr">
        <is>
          <t>2009-12-02</t>
        </is>
      </c>
      <c r="V443" t="inlineStr">
        <is>
          <t>2009-12-02</t>
        </is>
      </c>
      <c r="W443" t="inlineStr">
        <is>
          <t>1995-11-30</t>
        </is>
      </c>
      <c r="X443" t="inlineStr">
        <is>
          <t>1995-11-30</t>
        </is>
      </c>
      <c r="Y443" t="n">
        <v>455</v>
      </c>
      <c r="Z443" t="n">
        <v>398</v>
      </c>
      <c r="AA443" t="n">
        <v>431</v>
      </c>
      <c r="AB443" t="n">
        <v>4</v>
      </c>
      <c r="AC443" t="n">
        <v>4</v>
      </c>
      <c r="AD443" t="n">
        <v>21</v>
      </c>
      <c r="AE443" t="n">
        <v>22</v>
      </c>
      <c r="AF443" t="n">
        <v>7</v>
      </c>
      <c r="AG443" t="n">
        <v>8</v>
      </c>
      <c r="AH443" t="n">
        <v>4</v>
      </c>
      <c r="AI443" t="n">
        <v>4</v>
      </c>
      <c r="AJ443" t="n">
        <v>9</v>
      </c>
      <c r="AK443" t="n">
        <v>9</v>
      </c>
      <c r="AL443" t="n">
        <v>3</v>
      </c>
      <c r="AM443" t="n">
        <v>3</v>
      </c>
      <c r="AN443" t="n">
        <v>4</v>
      </c>
      <c r="AO443" t="n">
        <v>4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HYPERLINK("http://catalog.hathitrust.org/Record/002994394","HathiTrust Record")</f>
        <v/>
      </c>
      <c r="AS443">
        <f>HYPERLINK("https://creighton-primo.hosted.exlibrisgroup.com/primo-explore/search?tab=default_tab&amp;search_scope=EVERYTHING&amp;vid=01CRU&amp;lang=en_US&amp;offset=0&amp;query=any,contains,991002462089702656","Catalog Record")</f>
        <v/>
      </c>
      <c r="AT443">
        <f>HYPERLINK("http://www.worldcat.org/oclc/32086794","WorldCat Record")</f>
        <v/>
      </c>
      <c r="AU443" t="inlineStr">
        <is>
          <t>285037296:eng</t>
        </is>
      </c>
      <c r="AV443" t="inlineStr">
        <is>
          <t>32086794</t>
        </is>
      </c>
      <c r="AW443" t="inlineStr">
        <is>
          <t>991002462089702656</t>
        </is>
      </c>
      <c r="AX443" t="inlineStr">
        <is>
          <t>991002462089702656</t>
        </is>
      </c>
      <c r="AY443" t="inlineStr">
        <is>
          <t>2271748110002656</t>
        </is>
      </c>
      <c r="AZ443" t="inlineStr">
        <is>
          <t>BOOK</t>
        </is>
      </c>
      <c r="BB443" t="inlineStr">
        <is>
          <t>9780786400690</t>
        </is>
      </c>
      <c r="BC443" t="inlineStr">
        <is>
          <t>32285002107208</t>
        </is>
      </c>
      <c r="BD443" t="inlineStr">
        <is>
          <t>893879959</t>
        </is>
      </c>
    </row>
    <row r="444">
      <c r="A444" t="inlineStr">
        <is>
          <t>No</t>
        </is>
      </c>
      <c r="B444" t="inlineStr">
        <is>
          <t>HV6046 .I48</t>
        </is>
      </c>
      <c r="C444" t="inlineStr">
        <is>
          <t>0                      HV 6046000I  48</t>
        </is>
      </c>
      <c r="D444" t="inlineStr">
        <is>
          <t>The Incidence of female criminality in the contemporary world / edited by Freda Adler.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L444" t="inlineStr">
        <is>
          <t>New York : New York University Press, 1981.</t>
        </is>
      </c>
      <c r="M444" t="inlineStr">
        <is>
          <t>1981</t>
        </is>
      </c>
      <c r="O444" t="inlineStr">
        <is>
          <t>eng</t>
        </is>
      </c>
      <c r="P444" t="inlineStr">
        <is>
          <t>nyu</t>
        </is>
      </c>
      <c r="R444" t="inlineStr">
        <is>
          <t xml:space="preserve">HV </t>
        </is>
      </c>
      <c r="S444" t="n">
        <v>10</v>
      </c>
      <c r="T444" t="n">
        <v>10</v>
      </c>
      <c r="U444" t="inlineStr">
        <is>
          <t>2010-04-07</t>
        </is>
      </c>
      <c r="V444" t="inlineStr">
        <is>
          <t>2010-04-07</t>
        </is>
      </c>
      <c r="W444" t="inlineStr">
        <is>
          <t>1990-07-06</t>
        </is>
      </c>
      <c r="X444" t="inlineStr">
        <is>
          <t>1990-07-06</t>
        </is>
      </c>
      <c r="Y444" t="n">
        <v>651</v>
      </c>
      <c r="Z444" t="n">
        <v>553</v>
      </c>
      <c r="AA444" t="n">
        <v>584</v>
      </c>
      <c r="AB444" t="n">
        <v>6</v>
      </c>
      <c r="AC444" t="n">
        <v>6</v>
      </c>
      <c r="AD444" t="n">
        <v>35</v>
      </c>
      <c r="AE444" t="n">
        <v>38</v>
      </c>
      <c r="AF444" t="n">
        <v>8</v>
      </c>
      <c r="AG444" t="n">
        <v>9</v>
      </c>
      <c r="AH444" t="n">
        <v>9</v>
      </c>
      <c r="AI444" t="n">
        <v>9</v>
      </c>
      <c r="AJ444" t="n">
        <v>12</v>
      </c>
      <c r="AK444" t="n">
        <v>15</v>
      </c>
      <c r="AL444" t="n">
        <v>5</v>
      </c>
      <c r="AM444" t="n">
        <v>5</v>
      </c>
      <c r="AN444" t="n">
        <v>8</v>
      </c>
      <c r="AO444" t="n">
        <v>8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HYPERLINK("https://creighton-primo.hosted.exlibrisgroup.com/primo-explore/search?tab=default_tab&amp;search_scope=EVERYTHING&amp;vid=01CRU&amp;lang=en_US&amp;offset=0&amp;query=any,contains,991005115329702656","Catalog Record")</f>
        <v/>
      </c>
      <c r="AT444">
        <f>HYPERLINK("http://www.worldcat.org/oclc/7461920","WorldCat Record")</f>
        <v/>
      </c>
      <c r="AU444" t="inlineStr">
        <is>
          <t>54447066:eng</t>
        </is>
      </c>
      <c r="AV444" t="inlineStr">
        <is>
          <t>7461920</t>
        </is>
      </c>
      <c r="AW444" t="inlineStr">
        <is>
          <t>991005115329702656</t>
        </is>
      </c>
      <c r="AX444" t="inlineStr">
        <is>
          <t>991005115329702656</t>
        </is>
      </c>
      <c r="AY444" t="inlineStr">
        <is>
          <t>2265886470002656</t>
        </is>
      </c>
      <c r="AZ444" t="inlineStr">
        <is>
          <t>BOOK</t>
        </is>
      </c>
      <c r="BB444" t="inlineStr">
        <is>
          <t>9780814705766</t>
        </is>
      </c>
      <c r="BC444" t="inlineStr">
        <is>
          <t>32285000226455</t>
        </is>
      </c>
      <c r="BD444" t="inlineStr">
        <is>
          <t>893443423</t>
        </is>
      </c>
    </row>
    <row r="445">
      <c r="A445" t="inlineStr">
        <is>
          <t>No</t>
        </is>
      </c>
      <c r="B445" t="inlineStr">
        <is>
          <t>HV6046 .I86 1993</t>
        </is>
      </c>
      <c r="C445" t="inlineStr">
        <is>
          <t>0                      HV 6046000I  86          1993</t>
        </is>
      </c>
      <c r="D445" t="inlineStr">
        <is>
          <t>It's a crime : women and justice / [edited by] Roslyn Muraskin, Ted Alleman.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L445" t="inlineStr">
        <is>
          <t>Englewood Cliffs, N.J. : Regents/Prentice Hall, 1993.</t>
        </is>
      </c>
      <c r="M445" t="inlineStr">
        <is>
          <t>1993</t>
        </is>
      </c>
      <c r="O445" t="inlineStr">
        <is>
          <t>eng</t>
        </is>
      </c>
      <c r="P445" t="inlineStr">
        <is>
          <t>nju</t>
        </is>
      </c>
      <c r="R445" t="inlineStr">
        <is>
          <t xml:space="preserve">HV </t>
        </is>
      </c>
      <c r="S445" t="n">
        <v>11</v>
      </c>
      <c r="T445" t="n">
        <v>11</v>
      </c>
      <c r="U445" t="inlineStr">
        <is>
          <t>2007-03-16</t>
        </is>
      </c>
      <c r="V445" t="inlineStr">
        <is>
          <t>2007-03-16</t>
        </is>
      </c>
      <c r="W445" t="inlineStr">
        <is>
          <t>1994-01-13</t>
        </is>
      </c>
      <c r="X445" t="inlineStr">
        <is>
          <t>1994-01-13</t>
        </is>
      </c>
      <c r="Y445" t="n">
        <v>288</v>
      </c>
      <c r="Z445" t="n">
        <v>249</v>
      </c>
      <c r="AA445" t="n">
        <v>559</v>
      </c>
      <c r="AB445" t="n">
        <v>3</v>
      </c>
      <c r="AC445" t="n">
        <v>5</v>
      </c>
      <c r="AD445" t="n">
        <v>18</v>
      </c>
      <c r="AE445" t="n">
        <v>29</v>
      </c>
      <c r="AF445" t="n">
        <v>5</v>
      </c>
      <c r="AG445" t="n">
        <v>8</v>
      </c>
      <c r="AH445" t="n">
        <v>2</v>
      </c>
      <c r="AI445" t="n">
        <v>5</v>
      </c>
      <c r="AJ445" t="n">
        <v>8</v>
      </c>
      <c r="AK445" t="n">
        <v>12</v>
      </c>
      <c r="AL445" t="n">
        <v>2</v>
      </c>
      <c r="AM445" t="n">
        <v>4</v>
      </c>
      <c r="AN445" t="n">
        <v>6</v>
      </c>
      <c r="AO445" t="n">
        <v>8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HYPERLINK("https://creighton-primo.hosted.exlibrisgroup.com/primo-explore/search?tab=default_tab&amp;search_scope=EVERYTHING&amp;vid=01CRU&amp;lang=en_US&amp;offset=0&amp;query=any,contains,991002092229702656","Catalog Record")</f>
        <v/>
      </c>
      <c r="AT445">
        <f>HYPERLINK("http://www.worldcat.org/oclc/26852344","WorldCat Record")</f>
        <v/>
      </c>
      <c r="AU445" t="inlineStr">
        <is>
          <t>796429574:eng</t>
        </is>
      </c>
      <c r="AV445" t="inlineStr">
        <is>
          <t>26852344</t>
        </is>
      </c>
      <c r="AW445" t="inlineStr">
        <is>
          <t>991002092229702656</t>
        </is>
      </c>
      <c r="AX445" t="inlineStr">
        <is>
          <t>991002092229702656</t>
        </is>
      </c>
      <c r="AY445" t="inlineStr">
        <is>
          <t>2265012290002656</t>
        </is>
      </c>
      <c r="AZ445" t="inlineStr">
        <is>
          <t>BOOK</t>
        </is>
      </c>
      <c r="BB445" t="inlineStr">
        <is>
          <t>9780139620515</t>
        </is>
      </c>
      <c r="BC445" t="inlineStr">
        <is>
          <t>32285001831154</t>
        </is>
      </c>
      <c r="BD445" t="inlineStr">
        <is>
          <t>893892135</t>
        </is>
      </c>
    </row>
    <row r="446">
      <c r="A446" t="inlineStr">
        <is>
          <t>No</t>
        </is>
      </c>
      <c r="B446" t="inlineStr">
        <is>
          <t>HV6046 .S62</t>
        </is>
      </c>
      <c r="C446" t="inlineStr">
        <is>
          <t>0                      HV 6046000S  62</t>
        </is>
      </c>
      <c r="D446" t="inlineStr">
        <is>
          <t>Women, crime, and criminology : a feminist critique / Carol Smart.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Smart, Carol.</t>
        </is>
      </c>
      <c r="L446" t="inlineStr">
        <is>
          <t>London ; Boston : Routledge &amp; K. Paul, 1977 [i.e. 1976]</t>
        </is>
      </c>
      <c r="M446" t="inlineStr">
        <is>
          <t>1976</t>
        </is>
      </c>
      <c r="O446" t="inlineStr">
        <is>
          <t>eng</t>
        </is>
      </c>
      <c r="P446" t="inlineStr">
        <is>
          <t>enk</t>
        </is>
      </c>
      <c r="R446" t="inlineStr">
        <is>
          <t xml:space="preserve">HV </t>
        </is>
      </c>
      <c r="S446" t="n">
        <v>6</v>
      </c>
      <c r="T446" t="n">
        <v>6</v>
      </c>
      <c r="U446" t="inlineStr">
        <is>
          <t>2010-04-07</t>
        </is>
      </c>
      <c r="V446" t="inlineStr">
        <is>
          <t>2010-04-07</t>
        </is>
      </c>
      <c r="W446" t="inlineStr">
        <is>
          <t>1994-01-04</t>
        </is>
      </c>
      <c r="X446" t="inlineStr">
        <is>
          <t>1994-01-04</t>
        </is>
      </c>
      <c r="Y446" t="n">
        <v>888</v>
      </c>
      <c r="Z446" t="n">
        <v>676</v>
      </c>
      <c r="AA446" t="n">
        <v>732</v>
      </c>
      <c r="AB446" t="n">
        <v>5</v>
      </c>
      <c r="AC446" t="n">
        <v>5</v>
      </c>
      <c r="AD446" t="n">
        <v>33</v>
      </c>
      <c r="AE446" t="n">
        <v>34</v>
      </c>
      <c r="AF446" t="n">
        <v>13</v>
      </c>
      <c r="AG446" t="n">
        <v>14</v>
      </c>
      <c r="AH446" t="n">
        <v>7</v>
      </c>
      <c r="AI446" t="n">
        <v>7</v>
      </c>
      <c r="AJ446" t="n">
        <v>13</v>
      </c>
      <c r="AK446" t="n">
        <v>13</v>
      </c>
      <c r="AL446" t="n">
        <v>4</v>
      </c>
      <c r="AM446" t="n">
        <v>4</v>
      </c>
      <c r="AN446" t="n">
        <v>4</v>
      </c>
      <c r="AO446" t="n">
        <v>4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HYPERLINK("http://catalog.hathitrust.org/Record/000170619","HathiTrust Record")</f>
        <v/>
      </c>
      <c r="AS446">
        <f>HYPERLINK("https://creighton-primo.hosted.exlibrisgroup.com/primo-explore/search?tab=default_tab&amp;search_scope=EVERYTHING&amp;vid=01CRU&amp;lang=en_US&amp;offset=0&amp;query=any,contains,991004212219702656","Catalog Record")</f>
        <v/>
      </c>
      <c r="AT446">
        <f>HYPERLINK("http://www.worldcat.org/oclc/2686753","WorldCat Record")</f>
        <v/>
      </c>
      <c r="AU446" t="inlineStr">
        <is>
          <t>5899365:eng</t>
        </is>
      </c>
      <c r="AV446" t="inlineStr">
        <is>
          <t>2686753</t>
        </is>
      </c>
      <c r="AW446" t="inlineStr">
        <is>
          <t>991004212219702656</t>
        </is>
      </c>
      <c r="AX446" t="inlineStr">
        <is>
          <t>991004212219702656</t>
        </is>
      </c>
      <c r="AY446" t="inlineStr">
        <is>
          <t>2261536100002656</t>
        </is>
      </c>
      <c r="AZ446" t="inlineStr">
        <is>
          <t>BOOK</t>
        </is>
      </c>
      <c r="BB446" t="inlineStr">
        <is>
          <t>9780710084491</t>
        </is>
      </c>
      <c r="BC446" t="inlineStr">
        <is>
          <t>32285001827947</t>
        </is>
      </c>
      <c r="BD446" t="inlineStr">
        <is>
          <t>893229063</t>
        </is>
      </c>
    </row>
    <row r="447">
      <c r="A447" t="inlineStr">
        <is>
          <t>No</t>
        </is>
      </c>
      <c r="B447" t="inlineStr">
        <is>
          <t>HV6046 .W65</t>
        </is>
      </c>
      <c r="C447" t="inlineStr">
        <is>
          <t>0                      HV 6046000W  65</t>
        </is>
      </c>
      <c r="D447" t="inlineStr">
        <is>
          <t>Women, crime, and justice / edited by Susan K. Datesman, Frank R. Scarpitti.</t>
        </is>
      </c>
      <c r="F447" t="inlineStr">
        <is>
          <t>No</t>
        </is>
      </c>
      <c r="G447" t="inlineStr">
        <is>
          <t>1</t>
        </is>
      </c>
      <c r="H447" t="inlineStr">
        <is>
          <t>Yes</t>
        </is>
      </c>
      <c r="I447" t="inlineStr">
        <is>
          <t>No</t>
        </is>
      </c>
      <c r="J447" t="inlineStr">
        <is>
          <t>0</t>
        </is>
      </c>
      <c r="L447" t="inlineStr">
        <is>
          <t>New York : Oxford University Press, 1980.</t>
        </is>
      </c>
      <c r="M447" t="inlineStr">
        <is>
          <t>1980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HV </t>
        </is>
      </c>
      <c r="S447" t="n">
        <v>12</v>
      </c>
      <c r="T447" t="n">
        <v>12</v>
      </c>
      <c r="U447" t="inlineStr">
        <is>
          <t>1999-04-25</t>
        </is>
      </c>
      <c r="V447" t="inlineStr">
        <is>
          <t>1999-04-25</t>
        </is>
      </c>
      <c r="W447" t="inlineStr">
        <is>
          <t>1990-07-06</t>
        </is>
      </c>
      <c r="X447" t="inlineStr">
        <is>
          <t>1991-08-15</t>
        </is>
      </c>
      <c r="Y447" t="n">
        <v>672</v>
      </c>
      <c r="Z447" t="n">
        <v>547</v>
      </c>
      <c r="AA447" t="n">
        <v>553</v>
      </c>
      <c r="AB447" t="n">
        <v>8</v>
      </c>
      <c r="AC447" t="n">
        <v>8</v>
      </c>
      <c r="AD447" t="n">
        <v>36</v>
      </c>
      <c r="AE447" t="n">
        <v>36</v>
      </c>
      <c r="AF447" t="n">
        <v>9</v>
      </c>
      <c r="AG447" t="n">
        <v>9</v>
      </c>
      <c r="AH447" t="n">
        <v>5</v>
      </c>
      <c r="AI447" t="n">
        <v>5</v>
      </c>
      <c r="AJ447" t="n">
        <v>9</v>
      </c>
      <c r="AK447" t="n">
        <v>9</v>
      </c>
      <c r="AL447" t="n">
        <v>6</v>
      </c>
      <c r="AM447" t="n">
        <v>6</v>
      </c>
      <c r="AN447" t="n">
        <v>11</v>
      </c>
      <c r="AO447" t="n">
        <v>11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HYPERLINK("http://catalog.hathitrust.org/Record/000682349","HathiTrust Record")</f>
        <v/>
      </c>
      <c r="AS447">
        <f>HYPERLINK("https://creighton-primo.hosted.exlibrisgroup.com/primo-explore/search?tab=default_tab&amp;search_scope=EVERYTHING&amp;vid=01CRU&amp;lang=en_US&amp;offset=0&amp;query=any,contains,991001809369702656","Catalog Record")</f>
        <v/>
      </c>
      <c r="AT447">
        <f>HYPERLINK("http://www.worldcat.org/oclc/5264302","WorldCat Record")</f>
        <v/>
      </c>
      <c r="AU447" t="inlineStr">
        <is>
          <t>356331657:eng</t>
        </is>
      </c>
      <c r="AV447" t="inlineStr">
        <is>
          <t>5264302</t>
        </is>
      </c>
      <c r="AW447" t="inlineStr">
        <is>
          <t>991001809369702656</t>
        </is>
      </c>
      <c r="AX447" t="inlineStr">
        <is>
          <t>991001809369702656</t>
        </is>
      </c>
      <c r="AY447" t="inlineStr">
        <is>
          <t>2258724560002656</t>
        </is>
      </c>
      <c r="AZ447" t="inlineStr">
        <is>
          <t>BOOK</t>
        </is>
      </c>
      <c r="BB447" t="inlineStr">
        <is>
          <t>9780195026764</t>
        </is>
      </c>
      <c r="BC447" t="inlineStr">
        <is>
          <t>32285000226489</t>
        </is>
      </c>
      <c r="BD447" t="inlineStr">
        <is>
          <t>893615392</t>
        </is>
      </c>
    </row>
    <row r="448">
      <c r="A448" t="inlineStr">
        <is>
          <t>No</t>
        </is>
      </c>
      <c r="B448" t="inlineStr">
        <is>
          <t>HV6049 .Z36 1997</t>
        </is>
      </c>
      <c r="C448" t="inlineStr">
        <is>
          <t>0                      HV 6049000Z  36          1997</t>
        </is>
      </c>
      <c r="D448" t="inlineStr">
        <is>
          <t>The criminal recidivism process / Edward Zamble, Vernon L. Quinsey.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Zamble, Edward.</t>
        </is>
      </c>
      <c r="L448" t="inlineStr">
        <is>
          <t>Cambridge [England] ; New York, NY, USA : Cambridge University Press, 1997.</t>
        </is>
      </c>
      <c r="M448" t="inlineStr">
        <is>
          <t>1997</t>
        </is>
      </c>
      <c r="O448" t="inlineStr">
        <is>
          <t>eng</t>
        </is>
      </c>
      <c r="P448" t="inlineStr">
        <is>
          <t>enk</t>
        </is>
      </c>
      <c r="Q448" t="inlineStr">
        <is>
          <t>Cambridge criminology series</t>
        </is>
      </c>
      <c r="R448" t="inlineStr">
        <is>
          <t xml:space="preserve">HV </t>
        </is>
      </c>
      <c r="S448" t="n">
        <v>2</v>
      </c>
      <c r="T448" t="n">
        <v>2</v>
      </c>
      <c r="U448" t="inlineStr">
        <is>
          <t>2003-01-30</t>
        </is>
      </c>
      <c r="V448" t="inlineStr">
        <is>
          <t>2003-01-30</t>
        </is>
      </c>
      <c r="W448" t="inlineStr">
        <is>
          <t>1998-09-01</t>
        </is>
      </c>
      <c r="X448" t="inlineStr">
        <is>
          <t>1998-09-01</t>
        </is>
      </c>
      <c r="Y448" t="n">
        <v>465</v>
      </c>
      <c r="Z448" t="n">
        <v>351</v>
      </c>
      <c r="AA448" t="n">
        <v>415</v>
      </c>
      <c r="AB448" t="n">
        <v>3</v>
      </c>
      <c r="AC448" t="n">
        <v>3</v>
      </c>
      <c r="AD448" t="n">
        <v>24</v>
      </c>
      <c r="AE448" t="n">
        <v>26</v>
      </c>
      <c r="AF448" t="n">
        <v>9</v>
      </c>
      <c r="AG448" t="n">
        <v>10</v>
      </c>
      <c r="AH448" t="n">
        <v>5</v>
      </c>
      <c r="AI448" t="n">
        <v>6</v>
      </c>
      <c r="AJ448" t="n">
        <v>9</v>
      </c>
      <c r="AK448" t="n">
        <v>9</v>
      </c>
      <c r="AL448" t="n">
        <v>2</v>
      </c>
      <c r="AM448" t="n">
        <v>2</v>
      </c>
      <c r="AN448" t="n">
        <v>4</v>
      </c>
      <c r="AO448" t="n">
        <v>4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HYPERLINK("https://creighton-primo.hosted.exlibrisgroup.com/primo-explore/search?tab=default_tab&amp;search_scope=EVERYTHING&amp;vid=01CRU&amp;lang=en_US&amp;offset=0&amp;query=any,contains,991002781179702656","Catalog Record")</f>
        <v/>
      </c>
      <c r="AT448">
        <f>HYPERLINK("http://www.worldcat.org/oclc/36510431","WorldCat Record")</f>
        <v/>
      </c>
      <c r="AU448" t="inlineStr">
        <is>
          <t>47356:eng</t>
        </is>
      </c>
      <c r="AV448" t="inlineStr">
        <is>
          <t>36510431</t>
        </is>
      </c>
      <c r="AW448" t="inlineStr">
        <is>
          <t>991002781179702656</t>
        </is>
      </c>
      <c r="AX448" t="inlineStr">
        <is>
          <t>991002781179702656</t>
        </is>
      </c>
      <c r="AY448" t="inlineStr">
        <is>
          <t>2269042420002656</t>
        </is>
      </c>
      <c r="AZ448" t="inlineStr">
        <is>
          <t>BOOK</t>
        </is>
      </c>
      <c r="BB448" t="inlineStr">
        <is>
          <t>9780521581790</t>
        </is>
      </c>
      <c r="BC448" t="inlineStr">
        <is>
          <t>32285003464707</t>
        </is>
      </c>
      <c r="BD448" t="inlineStr">
        <is>
          <t>893591769</t>
        </is>
      </c>
    </row>
    <row r="449">
      <c r="A449" t="inlineStr">
        <is>
          <t>No</t>
        </is>
      </c>
      <c r="B449" t="inlineStr">
        <is>
          <t>HV6080 .A32</t>
        </is>
      </c>
      <c r="C449" t="inlineStr">
        <is>
          <t>0                      HV 6080000A  32</t>
        </is>
      </c>
      <c r="D449" t="inlineStr">
        <is>
          <t>The psychology of crime.</t>
        </is>
      </c>
      <c r="F449" t="inlineStr">
        <is>
          <t>No</t>
        </is>
      </c>
      <c r="G449" t="inlineStr">
        <is>
          <t>1</t>
        </is>
      </c>
      <c r="H449" t="inlineStr">
        <is>
          <t>Yes</t>
        </is>
      </c>
      <c r="I449" t="inlineStr">
        <is>
          <t>No</t>
        </is>
      </c>
      <c r="J449" t="inlineStr">
        <is>
          <t>0</t>
        </is>
      </c>
      <c r="K449" t="inlineStr">
        <is>
          <t>Abrahamsen, David, 1903-2002.</t>
        </is>
      </c>
      <c r="L449" t="inlineStr">
        <is>
          <t>New York, Columbia University Press, 1960.</t>
        </is>
      </c>
      <c r="M449" t="inlineStr">
        <is>
          <t>1960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HV </t>
        </is>
      </c>
      <c r="S449" t="n">
        <v>5</v>
      </c>
      <c r="T449" t="n">
        <v>5</v>
      </c>
      <c r="U449" t="inlineStr">
        <is>
          <t>2002-10-07</t>
        </is>
      </c>
      <c r="V449" t="inlineStr">
        <is>
          <t>2002-10-07</t>
        </is>
      </c>
      <c r="W449" t="inlineStr">
        <is>
          <t>1997-08-22</t>
        </is>
      </c>
      <c r="X449" t="inlineStr">
        <is>
          <t>1997-08-22</t>
        </is>
      </c>
      <c r="Y449" t="n">
        <v>892</v>
      </c>
      <c r="Z449" t="n">
        <v>768</v>
      </c>
      <c r="AA449" t="n">
        <v>832</v>
      </c>
      <c r="AB449" t="n">
        <v>6</v>
      </c>
      <c r="AC449" t="n">
        <v>7</v>
      </c>
      <c r="AD449" t="n">
        <v>42</v>
      </c>
      <c r="AE449" t="n">
        <v>46</v>
      </c>
      <c r="AF449" t="n">
        <v>14</v>
      </c>
      <c r="AG449" t="n">
        <v>14</v>
      </c>
      <c r="AH449" t="n">
        <v>4</v>
      </c>
      <c r="AI449" t="n">
        <v>4</v>
      </c>
      <c r="AJ449" t="n">
        <v>16</v>
      </c>
      <c r="AK449" t="n">
        <v>17</v>
      </c>
      <c r="AL449" t="n">
        <v>4</v>
      </c>
      <c r="AM449" t="n">
        <v>4</v>
      </c>
      <c r="AN449" t="n">
        <v>11</v>
      </c>
      <c r="AO449" t="n">
        <v>14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HYPERLINK("http://catalog.hathitrust.org/Record/001134045","HathiTrust Record")</f>
        <v/>
      </c>
      <c r="AS449">
        <f>HYPERLINK("https://creighton-primo.hosted.exlibrisgroup.com/primo-explore/search?tab=default_tab&amp;search_scope=EVERYTHING&amp;vid=01CRU&amp;lang=en_US&amp;offset=0&amp;query=any,contains,991001632309702656","Catalog Record")</f>
        <v/>
      </c>
      <c r="AT449">
        <f>HYPERLINK("http://www.worldcat.org/oclc/374614","WorldCat Record")</f>
        <v/>
      </c>
      <c r="AU449" t="inlineStr">
        <is>
          <t>136647914:eng</t>
        </is>
      </c>
      <c r="AV449" t="inlineStr">
        <is>
          <t>374614</t>
        </is>
      </c>
      <c r="AW449" t="inlineStr">
        <is>
          <t>991001632309702656</t>
        </is>
      </c>
      <c r="AX449" t="inlineStr">
        <is>
          <t>991001632309702656</t>
        </is>
      </c>
      <c r="AY449" t="inlineStr">
        <is>
          <t>2262447920002656</t>
        </is>
      </c>
      <c r="AZ449" t="inlineStr">
        <is>
          <t>BOOK</t>
        </is>
      </c>
      <c r="BC449" t="inlineStr">
        <is>
          <t>32285003158010</t>
        </is>
      </c>
      <c r="BD449" t="inlineStr">
        <is>
          <t>893225961</t>
        </is>
      </c>
    </row>
    <row r="450">
      <c r="A450" t="inlineStr">
        <is>
          <t>No</t>
        </is>
      </c>
      <c r="B450" t="inlineStr">
        <is>
          <t>HV6080 .B547 1993</t>
        </is>
      </c>
      <c r="C450" t="inlineStr">
        <is>
          <t>0                      HV 6080000B  547         1993</t>
        </is>
      </c>
      <c r="D450" t="inlineStr">
        <is>
          <t>The psychology of criminal conduct : theory, research, and practice / Ronald Blackburn.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Blackburn, Ronald.</t>
        </is>
      </c>
      <c r="L450" t="inlineStr">
        <is>
          <t>Chichester, England ; New York : J. Wiley, c1993.</t>
        </is>
      </c>
      <c r="M450" t="inlineStr">
        <is>
          <t>1993</t>
        </is>
      </c>
      <c r="O450" t="inlineStr">
        <is>
          <t>eng</t>
        </is>
      </c>
      <c r="P450" t="inlineStr">
        <is>
          <t>enk</t>
        </is>
      </c>
      <c r="Q450" t="inlineStr">
        <is>
          <t>The Wiley series in clinical psychology</t>
        </is>
      </c>
      <c r="R450" t="inlineStr">
        <is>
          <t xml:space="preserve">HV </t>
        </is>
      </c>
      <c r="S450" t="n">
        <v>22</v>
      </c>
      <c r="T450" t="n">
        <v>22</v>
      </c>
      <c r="U450" t="inlineStr">
        <is>
          <t>2009-03-05</t>
        </is>
      </c>
      <c r="V450" t="inlineStr">
        <is>
          <t>2009-03-05</t>
        </is>
      </c>
      <c r="W450" t="inlineStr">
        <is>
          <t>1993-11-02</t>
        </is>
      </c>
      <c r="X450" t="inlineStr">
        <is>
          <t>1993-11-02</t>
        </is>
      </c>
      <c r="Y450" t="n">
        <v>398</v>
      </c>
      <c r="Z450" t="n">
        <v>237</v>
      </c>
      <c r="AA450" t="n">
        <v>239</v>
      </c>
      <c r="AB450" t="n">
        <v>2</v>
      </c>
      <c r="AC450" t="n">
        <v>2</v>
      </c>
      <c r="AD450" t="n">
        <v>18</v>
      </c>
      <c r="AE450" t="n">
        <v>18</v>
      </c>
      <c r="AF450" t="n">
        <v>5</v>
      </c>
      <c r="AG450" t="n">
        <v>5</v>
      </c>
      <c r="AH450" t="n">
        <v>4</v>
      </c>
      <c r="AI450" t="n">
        <v>4</v>
      </c>
      <c r="AJ450" t="n">
        <v>8</v>
      </c>
      <c r="AK450" t="n">
        <v>8</v>
      </c>
      <c r="AL450" t="n">
        <v>1</v>
      </c>
      <c r="AM450" t="n">
        <v>1</v>
      </c>
      <c r="AN450" t="n">
        <v>3</v>
      </c>
      <c r="AO450" t="n">
        <v>3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HYPERLINK("http://catalog.hathitrust.org/Record/002640562","HathiTrust Record")</f>
        <v/>
      </c>
      <c r="AS450">
        <f>HYPERLINK("https://creighton-primo.hosted.exlibrisgroup.com/primo-explore/search?tab=default_tab&amp;search_scope=EVERYTHING&amp;vid=01CRU&amp;lang=en_US&amp;offset=0&amp;query=any,contains,991002052749702656","Catalog Record")</f>
        <v/>
      </c>
      <c r="AT450">
        <f>HYPERLINK("http://www.worldcat.org/oclc/26216799","WorldCat Record")</f>
        <v/>
      </c>
      <c r="AU450" t="inlineStr">
        <is>
          <t>9463455447:eng</t>
        </is>
      </c>
      <c r="AV450" t="inlineStr">
        <is>
          <t>26216799</t>
        </is>
      </c>
      <c r="AW450" t="inlineStr">
        <is>
          <t>991002052749702656</t>
        </is>
      </c>
      <c r="AX450" t="inlineStr">
        <is>
          <t>991002052749702656</t>
        </is>
      </c>
      <c r="AY450" t="inlineStr">
        <is>
          <t>2266424350002656</t>
        </is>
      </c>
      <c r="AZ450" t="inlineStr">
        <is>
          <t>BOOK</t>
        </is>
      </c>
      <c r="BB450" t="inlineStr">
        <is>
          <t>9780471912958</t>
        </is>
      </c>
      <c r="BC450" t="inlineStr">
        <is>
          <t>32285001789782</t>
        </is>
      </c>
      <c r="BD450" t="inlineStr">
        <is>
          <t>893444930</t>
        </is>
      </c>
    </row>
    <row r="451">
      <c r="A451" t="inlineStr">
        <is>
          <t>No</t>
        </is>
      </c>
      <c r="B451" t="inlineStr">
        <is>
          <t>HV6080 .E9</t>
        </is>
      </c>
      <c r="C451" t="inlineStr">
        <is>
          <t>0                      HV 6080000E  9</t>
        </is>
      </c>
      <c r="D451" t="inlineStr">
        <is>
          <t>Crime and personality [by] H. J. Eysenck.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Eysenck, H. J. (Hans Jurgen), 1916-1997.</t>
        </is>
      </c>
      <c r="L451" t="inlineStr">
        <is>
          <t>Boston, Houghton Mifflin [1964]</t>
        </is>
      </c>
      <c r="M451" t="inlineStr">
        <is>
          <t>1964</t>
        </is>
      </c>
      <c r="O451" t="inlineStr">
        <is>
          <t>eng</t>
        </is>
      </c>
      <c r="P451" t="inlineStr">
        <is>
          <t>mau</t>
        </is>
      </c>
      <c r="Q451" t="inlineStr">
        <is>
          <t>The International series in the behavioral sciences</t>
        </is>
      </c>
      <c r="R451" t="inlineStr">
        <is>
          <t xml:space="preserve">HV </t>
        </is>
      </c>
      <c r="S451" t="n">
        <v>3</v>
      </c>
      <c r="T451" t="n">
        <v>3</v>
      </c>
      <c r="U451" t="inlineStr">
        <is>
          <t>2001-11-29</t>
        </is>
      </c>
      <c r="V451" t="inlineStr">
        <is>
          <t>2001-11-29</t>
        </is>
      </c>
      <c r="W451" t="inlineStr">
        <is>
          <t>1997-08-22</t>
        </is>
      </c>
      <c r="X451" t="inlineStr">
        <is>
          <t>1997-08-22</t>
        </is>
      </c>
      <c r="Y451" t="n">
        <v>608</v>
      </c>
      <c r="Z451" t="n">
        <v>534</v>
      </c>
      <c r="AA451" t="n">
        <v>874</v>
      </c>
      <c r="AB451" t="n">
        <v>6</v>
      </c>
      <c r="AC451" t="n">
        <v>7</v>
      </c>
      <c r="AD451" t="n">
        <v>27</v>
      </c>
      <c r="AE451" t="n">
        <v>45</v>
      </c>
      <c r="AF451" t="n">
        <v>6</v>
      </c>
      <c r="AG451" t="n">
        <v>15</v>
      </c>
      <c r="AH451" t="n">
        <v>6</v>
      </c>
      <c r="AI451" t="n">
        <v>7</v>
      </c>
      <c r="AJ451" t="n">
        <v>11</v>
      </c>
      <c r="AK451" t="n">
        <v>18</v>
      </c>
      <c r="AL451" t="n">
        <v>5</v>
      </c>
      <c r="AM451" t="n">
        <v>5</v>
      </c>
      <c r="AN451" t="n">
        <v>4</v>
      </c>
      <c r="AO451" t="n">
        <v>8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HYPERLINK("http://catalog.hathitrust.org/Record/001744293","HathiTrust Record")</f>
        <v/>
      </c>
      <c r="AS451">
        <f>HYPERLINK("https://creighton-primo.hosted.exlibrisgroup.com/primo-explore/search?tab=default_tab&amp;search_scope=EVERYTHING&amp;vid=01CRU&amp;lang=en_US&amp;offset=0&amp;query=any,contains,991002084599702656","Catalog Record")</f>
        <v/>
      </c>
      <c r="AT451">
        <f>HYPERLINK("http://www.worldcat.org/oclc/265062","WorldCat Record")</f>
        <v/>
      </c>
      <c r="AU451" t="inlineStr">
        <is>
          <t>115855335:eng</t>
        </is>
      </c>
      <c r="AV451" t="inlineStr">
        <is>
          <t>265062</t>
        </is>
      </c>
      <c r="AW451" t="inlineStr">
        <is>
          <t>991002084599702656</t>
        </is>
      </c>
      <c r="AX451" t="inlineStr">
        <is>
          <t>991002084599702656</t>
        </is>
      </c>
      <c r="AY451" t="inlineStr">
        <is>
          <t>2265222690002656</t>
        </is>
      </c>
      <c r="AZ451" t="inlineStr">
        <is>
          <t>BOOK</t>
        </is>
      </c>
      <c r="BC451" t="inlineStr">
        <is>
          <t>32285003158036</t>
        </is>
      </c>
      <c r="BD451" t="inlineStr">
        <is>
          <t>893529520</t>
        </is>
      </c>
    </row>
    <row r="452">
      <c r="A452" t="inlineStr">
        <is>
          <t>No</t>
        </is>
      </c>
      <c r="B452" t="inlineStr">
        <is>
          <t>HV6080 .H38</t>
        </is>
      </c>
      <c r="C452" t="inlineStr">
        <is>
          <t>0                      HV 6080000H  38</t>
        </is>
      </c>
      <c r="D452" t="inlineStr">
        <is>
          <t>Forensic psychology / L.R.C. Haward.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Haward, L. R. C. (Lionel R. C.)</t>
        </is>
      </c>
      <c r="L452" t="inlineStr">
        <is>
          <t>London : Barsford Academic and Educational Ltd., 1981.</t>
        </is>
      </c>
      <c r="M452" t="inlineStr">
        <is>
          <t>1981</t>
        </is>
      </c>
      <c r="O452" t="inlineStr">
        <is>
          <t>eng</t>
        </is>
      </c>
      <c r="P452" t="inlineStr">
        <is>
          <t>enk</t>
        </is>
      </c>
      <c r="R452" t="inlineStr">
        <is>
          <t xml:space="preserve">HV </t>
        </is>
      </c>
      <c r="S452" t="n">
        <v>12</v>
      </c>
      <c r="T452" t="n">
        <v>12</v>
      </c>
      <c r="U452" t="inlineStr">
        <is>
          <t>2000-04-02</t>
        </is>
      </c>
      <c r="V452" t="inlineStr">
        <is>
          <t>2000-04-02</t>
        </is>
      </c>
      <c r="W452" t="inlineStr">
        <is>
          <t>1990-07-06</t>
        </is>
      </c>
      <c r="X452" t="inlineStr">
        <is>
          <t>1990-07-06</t>
        </is>
      </c>
      <c r="Y452" t="n">
        <v>195</v>
      </c>
      <c r="Z452" t="n">
        <v>102</v>
      </c>
      <c r="AA452" t="n">
        <v>107</v>
      </c>
      <c r="AB452" t="n">
        <v>4</v>
      </c>
      <c r="AC452" t="n">
        <v>4</v>
      </c>
      <c r="AD452" t="n">
        <v>7</v>
      </c>
      <c r="AE452" t="n">
        <v>7</v>
      </c>
      <c r="AF452" t="n">
        <v>0</v>
      </c>
      <c r="AG452" t="n">
        <v>0</v>
      </c>
      <c r="AH452" t="n">
        <v>0</v>
      </c>
      <c r="AI452" t="n">
        <v>0</v>
      </c>
      <c r="AJ452" t="n">
        <v>1</v>
      </c>
      <c r="AK452" t="n">
        <v>1</v>
      </c>
      <c r="AL452" t="n">
        <v>3</v>
      </c>
      <c r="AM452" t="n">
        <v>3</v>
      </c>
      <c r="AN452" t="n">
        <v>3</v>
      </c>
      <c r="AO452" t="n">
        <v>3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HYPERLINK("https://creighton-primo.hosted.exlibrisgroup.com/primo-explore/search?tab=default_tab&amp;search_scope=EVERYTHING&amp;vid=01CRU&amp;lang=en_US&amp;offset=0&amp;query=any,contains,991005160189702656","Catalog Record")</f>
        <v/>
      </c>
      <c r="AT452">
        <f>HYPERLINK("http://www.worldcat.org/oclc/8728066","WorldCat Record")</f>
        <v/>
      </c>
      <c r="AU452" t="inlineStr">
        <is>
          <t>3769185214:eng</t>
        </is>
      </c>
      <c r="AV452" t="inlineStr">
        <is>
          <t>8728066</t>
        </is>
      </c>
      <c r="AW452" t="inlineStr">
        <is>
          <t>991005160189702656</t>
        </is>
      </c>
      <c r="AX452" t="inlineStr">
        <is>
          <t>991005160189702656</t>
        </is>
      </c>
      <c r="AY452" t="inlineStr">
        <is>
          <t>2270466310002656</t>
        </is>
      </c>
      <c r="AZ452" t="inlineStr">
        <is>
          <t>BOOK</t>
        </is>
      </c>
      <c r="BB452" t="inlineStr">
        <is>
          <t>9780713424751</t>
        </is>
      </c>
      <c r="BC452" t="inlineStr">
        <is>
          <t>32285000226505</t>
        </is>
      </c>
      <c r="BD452" t="inlineStr">
        <is>
          <t>893625537</t>
        </is>
      </c>
    </row>
    <row r="453">
      <c r="A453" t="inlineStr">
        <is>
          <t>No</t>
        </is>
      </c>
      <c r="B453" t="inlineStr">
        <is>
          <t>HV6080 .N5</t>
        </is>
      </c>
      <c r="C453" t="inlineStr">
        <is>
          <t>0                      HV 6080000N  5</t>
        </is>
      </c>
      <c r="D453" t="inlineStr">
        <is>
          <t>Criminal psychology.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Nice, Richard W., editor.</t>
        </is>
      </c>
      <c r="L453" t="inlineStr">
        <is>
          <t>New York, Philosophical Library [1962]</t>
        </is>
      </c>
      <c r="M453" t="inlineStr">
        <is>
          <t>1962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HV </t>
        </is>
      </c>
      <c r="S453" t="n">
        <v>20</v>
      </c>
      <c r="T453" t="n">
        <v>20</v>
      </c>
      <c r="U453" t="inlineStr">
        <is>
          <t>2005-05-01</t>
        </is>
      </c>
      <c r="V453" t="inlineStr">
        <is>
          <t>2005-05-01</t>
        </is>
      </c>
      <c r="W453" t="inlineStr">
        <is>
          <t>1991-12-18</t>
        </is>
      </c>
      <c r="X453" t="inlineStr">
        <is>
          <t>1991-12-18</t>
        </is>
      </c>
      <c r="Y453" t="n">
        <v>292</v>
      </c>
      <c r="Z453" t="n">
        <v>261</v>
      </c>
      <c r="AA453" t="n">
        <v>269</v>
      </c>
      <c r="AB453" t="n">
        <v>2</v>
      </c>
      <c r="AC453" t="n">
        <v>2</v>
      </c>
      <c r="AD453" t="n">
        <v>18</v>
      </c>
      <c r="AE453" t="n">
        <v>18</v>
      </c>
      <c r="AF453" t="n">
        <v>3</v>
      </c>
      <c r="AG453" t="n">
        <v>3</v>
      </c>
      <c r="AH453" t="n">
        <v>3</v>
      </c>
      <c r="AI453" t="n">
        <v>3</v>
      </c>
      <c r="AJ453" t="n">
        <v>7</v>
      </c>
      <c r="AK453" t="n">
        <v>7</v>
      </c>
      <c r="AL453" t="n">
        <v>1</v>
      </c>
      <c r="AM453" t="n">
        <v>1</v>
      </c>
      <c r="AN453" t="n">
        <v>6</v>
      </c>
      <c r="AO453" t="n">
        <v>6</v>
      </c>
      <c r="AP453" t="inlineStr">
        <is>
          <t>No</t>
        </is>
      </c>
      <c r="AQ453" t="inlineStr">
        <is>
          <t>No</t>
        </is>
      </c>
      <c r="AR453">
        <f>HYPERLINK("http://catalog.hathitrust.org/Record/001134064","HathiTrust Record")</f>
        <v/>
      </c>
      <c r="AS453">
        <f>HYPERLINK("https://creighton-primo.hosted.exlibrisgroup.com/primo-explore/search?tab=default_tab&amp;search_scope=EVERYTHING&amp;vid=01CRU&amp;lang=en_US&amp;offset=0&amp;query=any,contains,991001070329702656","Catalog Record")</f>
        <v/>
      </c>
      <c r="AT453">
        <f>HYPERLINK("http://www.worldcat.org/oclc/178673","WorldCat Record")</f>
        <v/>
      </c>
      <c r="AU453" t="inlineStr">
        <is>
          <t>1317219:eng</t>
        </is>
      </c>
      <c r="AV453" t="inlineStr">
        <is>
          <t>178673</t>
        </is>
      </c>
      <c r="AW453" t="inlineStr">
        <is>
          <t>991001070329702656</t>
        </is>
      </c>
      <c r="AX453" t="inlineStr">
        <is>
          <t>991001070329702656</t>
        </is>
      </c>
      <c r="AY453" t="inlineStr">
        <is>
          <t>2264434780002656</t>
        </is>
      </c>
      <c r="AZ453" t="inlineStr">
        <is>
          <t>BOOK</t>
        </is>
      </c>
      <c r="BC453" t="inlineStr">
        <is>
          <t>32285000896109</t>
        </is>
      </c>
      <c r="BD453" t="inlineStr">
        <is>
          <t>893255980</t>
        </is>
      </c>
    </row>
    <row r="454">
      <c r="A454" t="inlineStr">
        <is>
          <t>No</t>
        </is>
      </c>
      <c r="B454" t="inlineStr">
        <is>
          <t>HV6080 .P33 1994</t>
        </is>
      </c>
      <c r="C454" t="inlineStr">
        <is>
          <t>0                      HV 6080000P  33          1994</t>
        </is>
      </c>
      <c r="D454" t="inlineStr">
        <is>
          <t>Criminal behavior : a process psychology analysis : personal constructs, stimulus determinants, behavioral repertoires / Nathaniel J. Pallone, James J. Hennessy.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Pallone, Nathaniel J.</t>
        </is>
      </c>
      <c r="L454" t="inlineStr">
        <is>
          <t>New Brunswick (U.S.A.) : Transaction Publishers, 1994.</t>
        </is>
      </c>
      <c r="M454" t="inlineStr">
        <is>
          <t>1994</t>
        </is>
      </c>
      <c r="N454" t="inlineStr">
        <is>
          <t>1st pbk. ed.</t>
        </is>
      </c>
      <c r="O454" t="inlineStr">
        <is>
          <t>eng</t>
        </is>
      </c>
      <c r="P454" t="inlineStr">
        <is>
          <t>nju</t>
        </is>
      </c>
      <c r="R454" t="inlineStr">
        <is>
          <t xml:space="preserve">HV </t>
        </is>
      </c>
      <c r="S454" t="n">
        <v>9</v>
      </c>
      <c r="T454" t="n">
        <v>9</v>
      </c>
      <c r="U454" t="inlineStr">
        <is>
          <t>2004-04-14</t>
        </is>
      </c>
      <c r="V454" t="inlineStr">
        <is>
          <t>2004-04-14</t>
        </is>
      </c>
      <c r="W454" t="inlineStr">
        <is>
          <t>1999-01-06</t>
        </is>
      </c>
      <c r="X454" t="inlineStr">
        <is>
          <t>1999-01-06</t>
        </is>
      </c>
      <c r="Y454" t="n">
        <v>52</v>
      </c>
      <c r="Z454" t="n">
        <v>44</v>
      </c>
      <c r="AA454" t="n">
        <v>255</v>
      </c>
      <c r="AB454" t="n">
        <v>1</v>
      </c>
      <c r="AC454" t="n">
        <v>2</v>
      </c>
      <c r="AD454" t="n">
        <v>3</v>
      </c>
      <c r="AE454" t="n">
        <v>15</v>
      </c>
      <c r="AF454" t="n">
        <v>0</v>
      </c>
      <c r="AG454" t="n">
        <v>4</v>
      </c>
      <c r="AH454" t="n">
        <v>1</v>
      </c>
      <c r="AI454" t="n">
        <v>5</v>
      </c>
      <c r="AJ454" t="n">
        <v>2</v>
      </c>
      <c r="AK454" t="n">
        <v>9</v>
      </c>
      <c r="AL454" t="n">
        <v>0</v>
      </c>
      <c r="AM454" t="n">
        <v>1</v>
      </c>
      <c r="AN454" t="n">
        <v>0</v>
      </c>
      <c r="AO454" t="n">
        <v>1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HYPERLINK("https://creighton-primo.hosted.exlibrisgroup.com/primo-explore/search?tab=default_tab&amp;search_scope=EVERYTHING&amp;vid=01CRU&amp;lang=en_US&amp;offset=0&amp;query=any,contains,991002444479702656","Catalog Record")</f>
        <v/>
      </c>
      <c r="AT454">
        <f>HYPERLINK("http://www.worldcat.org/oclc/31872804","WorldCat Record")</f>
        <v/>
      </c>
      <c r="AU454" t="inlineStr">
        <is>
          <t>26924636:eng</t>
        </is>
      </c>
      <c r="AV454" t="inlineStr">
        <is>
          <t>31872804</t>
        </is>
      </c>
      <c r="AW454" t="inlineStr">
        <is>
          <t>991002444479702656</t>
        </is>
      </c>
      <c r="AX454" t="inlineStr">
        <is>
          <t>991002444479702656</t>
        </is>
      </c>
      <c r="AY454" t="inlineStr">
        <is>
          <t>2262509090002656</t>
        </is>
      </c>
      <c r="AZ454" t="inlineStr">
        <is>
          <t>BOOK</t>
        </is>
      </c>
      <c r="BB454" t="inlineStr">
        <is>
          <t>9781560007296</t>
        </is>
      </c>
      <c r="BC454" t="inlineStr">
        <is>
          <t>32285003509832</t>
        </is>
      </c>
      <c r="BD454" t="inlineStr">
        <is>
          <t>893322951</t>
        </is>
      </c>
    </row>
    <row r="455">
      <c r="A455" t="inlineStr">
        <is>
          <t>No</t>
        </is>
      </c>
      <c r="B455" t="inlineStr">
        <is>
          <t>HV6080 .R575 2000</t>
        </is>
      </c>
      <c r="C455" t="inlineStr">
        <is>
          <t>0                      HV 6080000R  575         2000</t>
        </is>
      </c>
      <c r="D455" t="inlineStr">
        <is>
          <t>Geographic profiling / D. Kim Rossmo.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Rossmo, D. Kim.</t>
        </is>
      </c>
      <c r="L455" t="inlineStr">
        <is>
          <t>Boca Raton, Fla. CRC Press, c2000.</t>
        </is>
      </c>
      <c r="M455" t="inlineStr">
        <is>
          <t>2000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HV </t>
        </is>
      </c>
      <c r="S455" t="n">
        <v>2</v>
      </c>
      <c r="T455" t="n">
        <v>2</v>
      </c>
      <c r="U455" t="inlineStr">
        <is>
          <t>2009-01-21</t>
        </is>
      </c>
      <c r="V455" t="inlineStr">
        <is>
          <t>2009-01-21</t>
        </is>
      </c>
      <c r="W455" t="inlineStr">
        <is>
          <t>2001-11-15</t>
        </is>
      </c>
      <c r="X455" t="inlineStr">
        <is>
          <t>2001-11-15</t>
        </is>
      </c>
      <c r="Y455" t="n">
        <v>311</v>
      </c>
      <c r="Z455" t="n">
        <v>233</v>
      </c>
      <c r="AA455" t="n">
        <v>266</v>
      </c>
      <c r="AB455" t="n">
        <v>5</v>
      </c>
      <c r="AC455" t="n">
        <v>5</v>
      </c>
      <c r="AD455" t="n">
        <v>11</v>
      </c>
      <c r="AE455" t="n">
        <v>12</v>
      </c>
      <c r="AF455" t="n">
        <v>4</v>
      </c>
      <c r="AG455" t="n">
        <v>4</v>
      </c>
      <c r="AH455" t="n">
        <v>1</v>
      </c>
      <c r="AI455" t="n">
        <v>1</v>
      </c>
      <c r="AJ455" t="n">
        <v>4</v>
      </c>
      <c r="AK455" t="n">
        <v>5</v>
      </c>
      <c r="AL455" t="n">
        <v>4</v>
      </c>
      <c r="AM455" t="n">
        <v>4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HYPERLINK("https://creighton-primo.hosted.exlibrisgroup.com/primo-explore/search?tab=default_tab&amp;search_scope=EVERYTHING&amp;vid=01CRU&amp;lang=en_US&amp;offset=0&amp;query=any,contains,991003653689702656","Catalog Record")</f>
        <v/>
      </c>
      <c r="AT455">
        <f>HYPERLINK("http://www.worldcat.org/oclc/42692068","WorldCat Record")</f>
        <v/>
      </c>
      <c r="AU455" t="inlineStr">
        <is>
          <t>20572237:eng</t>
        </is>
      </c>
      <c r="AV455" t="inlineStr">
        <is>
          <t>42692068</t>
        </is>
      </c>
      <c r="AW455" t="inlineStr">
        <is>
          <t>991003653689702656</t>
        </is>
      </c>
      <c r="AX455" t="inlineStr">
        <is>
          <t>991003653689702656</t>
        </is>
      </c>
      <c r="AY455" t="inlineStr">
        <is>
          <t>2258029010002656</t>
        </is>
      </c>
      <c r="AZ455" t="inlineStr">
        <is>
          <t>BOOK</t>
        </is>
      </c>
      <c r="BB455" t="inlineStr">
        <is>
          <t>9780849381294</t>
        </is>
      </c>
      <c r="BC455" t="inlineStr">
        <is>
          <t>32285004412077</t>
        </is>
      </c>
      <c r="BD455" t="inlineStr">
        <is>
          <t>893499528</t>
        </is>
      </c>
    </row>
    <row r="456">
      <c r="A456" t="inlineStr">
        <is>
          <t>No</t>
        </is>
      </c>
      <c r="B456" t="inlineStr">
        <is>
          <t>HV6080 .S22 2004</t>
        </is>
      </c>
      <c r="C456" t="inlineStr">
        <is>
          <t>0                      HV 6080000S  22          2004</t>
        </is>
      </c>
      <c r="D456" t="inlineStr">
        <is>
          <t>Inside the criminal mind / Stanton E. Samenow.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Samenow, Stanton E., 1941-</t>
        </is>
      </c>
      <c r="L456" t="inlineStr">
        <is>
          <t>New York : Crown Publishers, c2004.</t>
        </is>
      </c>
      <c r="M456" t="inlineStr">
        <is>
          <t>2004</t>
        </is>
      </c>
      <c r="N456" t="inlineStr">
        <is>
          <t>Rev. and updated ed.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HV </t>
        </is>
      </c>
      <c r="S456" t="n">
        <v>8</v>
      </c>
      <c r="T456" t="n">
        <v>8</v>
      </c>
      <c r="U456" t="inlineStr">
        <is>
          <t>2010-12-07</t>
        </is>
      </c>
      <c r="V456" t="inlineStr">
        <is>
          <t>2010-12-07</t>
        </is>
      </c>
      <c r="W456" t="inlineStr">
        <is>
          <t>2004-05-25</t>
        </is>
      </c>
      <c r="X456" t="inlineStr">
        <is>
          <t>2004-05-25</t>
        </is>
      </c>
      <c r="Y456" t="n">
        <v>592</v>
      </c>
      <c r="Z456" t="n">
        <v>534</v>
      </c>
      <c r="AA456" t="n">
        <v>1724</v>
      </c>
      <c r="AB456" t="n">
        <v>4</v>
      </c>
      <c r="AC456" t="n">
        <v>11</v>
      </c>
      <c r="AD456" t="n">
        <v>21</v>
      </c>
      <c r="AE456" t="n">
        <v>56</v>
      </c>
      <c r="AF456" t="n">
        <v>8</v>
      </c>
      <c r="AG456" t="n">
        <v>22</v>
      </c>
      <c r="AH456" t="n">
        <v>5</v>
      </c>
      <c r="AI456" t="n">
        <v>7</v>
      </c>
      <c r="AJ456" t="n">
        <v>6</v>
      </c>
      <c r="AK456" t="n">
        <v>20</v>
      </c>
      <c r="AL456" t="n">
        <v>3</v>
      </c>
      <c r="AM456" t="n">
        <v>7</v>
      </c>
      <c r="AN456" t="n">
        <v>3</v>
      </c>
      <c r="AO456" t="n">
        <v>9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HYPERLINK("https://creighton-primo.hosted.exlibrisgroup.com/primo-explore/search?tab=default_tab&amp;search_scope=EVERYTHING&amp;vid=01CRU&amp;lang=en_US&amp;offset=0&amp;query=any,contains,991004293329702656","Catalog Record")</f>
        <v/>
      </c>
      <c r="AT456">
        <f>HYPERLINK("http://www.worldcat.org/oclc/52980600","WorldCat Record")</f>
        <v/>
      </c>
      <c r="AU456" t="inlineStr">
        <is>
          <t>753257:eng</t>
        </is>
      </c>
      <c r="AV456" t="inlineStr">
        <is>
          <t>52980600</t>
        </is>
      </c>
      <c r="AW456" t="inlineStr">
        <is>
          <t>991004293329702656</t>
        </is>
      </c>
      <c r="AX456" t="inlineStr">
        <is>
          <t>991004293329702656</t>
        </is>
      </c>
      <c r="AY456" t="inlineStr">
        <is>
          <t>2265560130002656</t>
        </is>
      </c>
      <c r="AZ456" t="inlineStr">
        <is>
          <t>BOOK</t>
        </is>
      </c>
      <c r="BB456" t="inlineStr">
        <is>
          <t>9781400046195</t>
        </is>
      </c>
      <c r="BC456" t="inlineStr">
        <is>
          <t>32285004907258</t>
        </is>
      </c>
      <c r="BD456" t="inlineStr">
        <is>
          <t>893411348</t>
        </is>
      </c>
    </row>
    <row r="457">
      <c r="A457" t="inlineStr">
        <is>
          <t>No</t>
        </is>
      </c>
      <c r="B457" t="inlineStr">
        <is>
          <t>HV6155 .W37 2002</t>
        </is>
      </c>
      <c r="C457" t="inlineStr">
        <is>
          <t>0                      HV 6155000W  37          2002</t>
        </is>
      </c>
      <c r="D457" t="inlineStr">
        <is>
          <t>Companions in crime : the social aspects of criminal conduct / Mark Warr.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Warr, Mark, 1952-</t>
        </is>
      </c>
      <c r="L457" t="inlineStr">
        <is>
          <t>Cambridge, UK ; New York : Cambridge University Press, 2002.</t>
        </is>
      </c>
      <c r="M457" t="inlineStr">
        <is>
          <t>2002</t>
        </is>
      </c>
      <c r="O457" t="inlineStr">
        <is>
          <t>eng</t>
        </is>
      </c>
      <c r="P457" t="inlineStr">
        <is>
          <t>enk</t>
        </is>
      </c>
      <c r="Q457" t="inlineStr">
        <is>
          <t>Cambridge studies in criminology</t>
        </is>
      </c>
      <c r="R457" t="inlineStr">
        <is>
          <t xml:space="preserve">HV </t>
        </is>
      </c>
      <c r="S457" t="n">
        <v>5</v>
      </c>
      <c r="T457" t="n">
        <v>5</v>
      </c>
      <c r="U457" t="inlineStr">
        <is>
          <t>2008-04-23</t>
        </is>
      </c>
      <c r="V457" t="inlineStr">
        <is>
          <t>2008-04-23</t>
        </is>
      </c>
      <c r="W457" t="inlineStr">
        <is>
          <t>2003-01-21</t>
        </is>
      </c>
      <c r="X457" t="inlineStr">
        <is>
          <t>2003-01-21</t>
        </is>
      </c>
      <c r="Y457" t="n">
        <v>789</v>
      </c>
      <c r="Z457" t="n">
        <v>650</v>
      </c>
      <c r="AA457" t="n">
        <v>667</v>
      </c>
      <c r="AB457" t="n">
        <v>5</v>
      </c>
      <c r="AC457" t="n">
        <v>5</v>
      </c>
      <c r="AD457" t="n">
        <v>31</v>
      </c>
      <c r="AE457" t="n">
        <v>31</v>
      </c>
      <c r="AF457" t="n">
        <v>11</v>
      </c>
      <c r="AG457" t="n">
        <v>11</v>
      </c>
      <c r="AH457" t="n">
        <v>7</v>
      </c>
      <c r="AI457" t="n">
        <v>7</v>
      </c>
      <c r="AJ457" t="n">
        <v>13</v>
      </c>
      <c r="AK457" t="n">
        <v>13</v>
      </c>
      <c r="AL457" t="n">
        <v>4</v>
      </c>
      <c r="AM457" t="n">
        <v>4</v>
      </c>
      <c r="AN457" t="n">
        <v>1</v>
      </c>
      <c r="AO457" t="n">
        <v>1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HYPERLINK("https://creighton-primo.hosted.exlibrisgroup.com/primo-explore/search?tab=default_tab&amp;search_scope=EVERYTHING&amp;vid=01CRU&amp;lang=en_US&amp;offset=0&amp;query=any,contains,991003955009702656","Catalog Record")</f>
        <v/>
      </c>
      <c r="AT457">
        <f>HYPERLINK("http://www.worldcat.org/oclc/47120364","WorldCat Record")</f>
        <v/>
      </c>
      <c r="AU457" t="inlineStr">
        <is>
          <t>196683253:eng</t>
        </is>
      </c>
      <c r="AV457" t="inlineStr">
        <is>
          <t>47120364</t>
        </is>
      </c>
      <c r="AW457" t="inlineStr">
        <is>
          <t>991003955009702656</t>
        </is>
      </c>
      <c r="AX457" t="inlineStr">
        <is>
          <t>991003955009702656</t>
        </is>
      </c>
      <c r="AY457" t="inlineStr">
        <is>
          <t>2269791740002656</t>
        </is>
      </c>
      <c r="AZ457" t="inlineStr">
        <is>
          <t>BOOK</t>
        </is>
      </c>
      <c r="BB457" t="inlineStr">
        <is>
          <t>9780521009164</t>
        </is>
      </c>
      <c r="BC457" t="inlineStr">
        <is>
          <t>32285004694989</t>
        </is>
      </c>
      <c r="BD457" t="inlineStr">
        <is>
          <t>893881879</t>
        </is>
      </c>
    </row>
    <row r="458">
      <c r="A458" t="inlineStr">
        <is>
          <t>No</t>
        </is>
      </c>
      <c r="B458" t="inlineStr">
        <is>
          <t>HV6171 .Q54</t>
        </is>
      </c>
      <c r="C458" t="inlineStr">
        <is>
          <t>0                      HV 6171000Q  54</t>
        </is>
      </c>
      <c r="D458" t="inlineStr">
        <is>
          <t>Class, state, and crime : on the theory and practice of criminal justice / Richard Quinney.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Quinney, Richard.</t>
        </is>
      </c>
      <c r="L458" t="inlineStr">
        <is>
          <t>New York : D. McKay Co., c1977.</t>
        </is>
      </c>
      <c r="M458" t="inlineStr">
        <is>
          <t>1977</t>
        </is>
      </c>
      <c r="O458" t="inlineStr">
        <is>
          <t>eng</t>
        </is>
      </c>
      <c r="P458" t="inlineStr">
        <is>
          <t>nyu</t>
        </is>
      </c>
      <c r="R458" t="inlineStr">
        <is>
          <t xml:space="preserve">HV </t>
        </is>
      </c>
      <c r="S458" t="n">
        <v>5</v>
      </c>
      <c r="T458" t="n">
        <v>5</v>
      </c>
      <c r="U458" t="inlineStr">
        <is>
          <t>2007-04-26</t>
        </is>
      </c>
      <c r="V458" t="inlineStr">
        <is>
          <t>2007-04-26</t>
        </is>
      </c>
      <c r="W458" t="inlineStr">
        <is>
          <t>1994-04-08</t>
        </is>
      </c>
      <c r="X458" t="inlineStr">
        <is>
          <t>1994-04-08</t>
        </is>
      </c>
      <c r="Y458" t="n">
        <v>611</v>
      </c>
      <c r="Z458" t="n">
        <v>549</v>
      </c>
      <c r="AA458" t="n">
        <v>575</v>
      </c>
      <c r="AB458" t="n">
        <v>3</v>
      </c>
      <c r="AC458" t="n">
        <v>3</v>
      </c>
      <c r="AD458" t="n">
        <v>33</v>
      </c>
      <c r="AE458" t="n">
        <v>34</v>
      </c>
      <c r="AF458" t="n">
        <v>9</v>
      </c>
      <c r="AG458" t="n">
        <v>9</v>
      </c>
      <c r="AH458" t="n">
        <v>6</v>
      </c>
      <c r="AI458" t="n">
        <v>6</v>
      </c>
      <c r="AJ458" t="n">
        <v>13</v>
      </c>
      <c r="AK458" t="n">
        <v>14</v>
      </c>
      <c r="AL458" t="n">
        <v>2</v>
      </c>
      <c r="AM458" t="n">
        <v>2</v>
      </c>
      <c r="AN458" t="n">
        <v>10</v>
      </c>
      <c r="AO458" t="n">
        <v>10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HYPERLINK("https://creighton-primo.hosted.exlibrisgroup.com/primo-explore/search?tab=default_tab&amp;search_scope=EVERYTHING&amp;vid=01CRU&amp;lang=en_US&amp;offset=0&amp;query=any,contains,991004280519702656","Catalog Record")</f>
        <v/>
      </c>
      <c r="AT458">
        <f>HYPERLINK("http://www.worldcat.org/oclc/2909472","WorldCat Record")</f>
        <v/>
      </c>
      <c r="AU458" t="inlineStr">
        <is>
          <t>5214983851:eng</t>
        </is>
      </c>
      <c r="AV458" t="inlineStr">
        <is>
          <t>2909472</t>
        </is>
      </c>
      <c r="AW458" t="inlineStr">
        <is>
          <t>991004280519702656</t>
        </is>
      </c>
      <c r="AX458" t="inlineStr">
        <is>
          <t>991004280519702656</t>
        </is>
      </c>
      <c r="AY458" t="inlineStr">
        <is>
          <t>2267596850002656</t>
        </is>
      </c>
      <c r="AZ458" t="inlineStr">
        <is>
          <t>BOOK</t>
        </is>
      </c>
      <c r="BB458" t="inlineStr">
        <is>
          <t>9780679303343</t>
        </is>
      </c>
      <c r="BC458" t="inlineStr">
        <is>
          <t>32285001874642</t>
        </is>
      </c>
      <c r="BD458" t="inlineStr">
        <is>
          <t>893618478</t>
        </is>
      </c>
    </row>
    <row r="459">
      <c r="A459" t="inlineStr">
        <is>
          <t>No</t>
        </is>
      </c>
      <c r="B459" t="inlineStr">
        <is>
          <t>HV6197.U5 O43 1992</t>
        </is>
      </c>
      <c r="C459" t="inlineStr">
        <is>
          <t>0                      HV 6197000U  5                  O  43          1992</t>
        </is>
      </c>
      <c r="D459" t="inlineStr">
        <is>
          <t>The crooked ladder : gangsters, ethnicity, and the American dream / James M. O'Kane.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O'Kane, James M.</t>
        </is>
      </c>
      <c r="L459" t="inlineStr">
        <is>
          <t>New Brunswick, U.S.A. : Transaction Publishers, c1992.</t>
        </is>
      </c>
      <c r="M459" t="inlineStr">
        <is>
          <t>1992</t>
        </is>
      </c>
      <c r="O459" t="inlineStr">
        <is>
          <t>eng</t>
        </is>
      </c>
      <c r="P459" t="inlineStr">
        <is>
          <t>nju</t>
        </is>
      </c>
      <c r="R459" t="inlineStr">
        <is>
          <t xml:space="preserve">HV </t>
        </is>
      </c>
      <c r="S459" t="n">
        <v>16</v>
      </c>
      <c r="T459" t="n">
        <v>16</v>
      </c>
      <c r="U459" t="inlineStr">
        <is>
          <t>2004-03-15</t>
        </is>
      </c>
      <c r="V459" t="inlineStr">
        <is>
          <t>2004-03-15</t>
        </is>
      </c>
      <c r="W459" t="inlineStr">
        <is>
          <t>1993-08-30</t>
        </is>
      </c>
      <c r="X459" t="inlineStr">
        <is>
          <t>1993-08-30</t>
        </is>
      </c>
      <c r="Y459" t="n">
        <v>510</v>
      </c>
      <c r="Z459" t="n">
        <v>455</v>
      </c>
      <c r="AA459" t="n">
        <v>530</v>
      </c>
      <c r="AB459" t="n">
        <v>6</v>
      </c>
      <c r="AC459" t="n">
        <v>6</v>
      </c>
      <c r="AD459" t="n">
        <v>24</v>
      </c>
      <c r="AE459" t="n">
        <v>26</v>
      </c>
      <c r="AF459" t="n">
        <v>7</v>
      </c>
      <c r="AG459" t="n">
        <v>9</v>
      </c>
      <c r="AH459" t="n">
        <v>8</v>
      </c>
      <c r="AI459" t="n">
        <v>8</v>
      </c>
      <c r="AJ459" t="n">
        <v>10</v>
      </c>
      <c r="AK459" t="n">
        <v>11</v>
      </c>
      <c r="AL459" t="n">
        <v>5</v>
      </c>
      <c r="AM459" t="n">
        <v>5</v>
      </c>
      <c r="AN459" t="n">
        <v>0</v>
      </c>
      <c r="AO459" t="n">
        <v>0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HYPERLINK("https://creighton-primo.hosted.exlibrisgroup.com/primo-explore/search?tab=default_tab&amp;search_scope=EVERYTHING&amp;vid=01CRU&amp;lang=en_US&amp;offset=0&amp;query=any,contains,991001926439702656","Catalog Record")</f>
        <v/>
      </c>
      <c r="AT459">
        <f>HYPERLINK("http://www.worldcat.org/oclc/24320135","WorldCat Record")</f>
        <v/>
      </c>
      <c r="AU459" t="inlineStr">
        <is>
          <t>762134:eng</t>
        </is>
      </c>
      <c r="AV459" t="inlineStr">
        <is>
          <t>24320135</t>
        </is>
      </c>
      <c r="AW459" t="inlineStr">
        <is>
          <t>991001926439702656</t>
        </is>
      </c>
      <c r="AX459" t="inlineStr">
        <is>
          <t>991001926439702656</t>
        </is>
      </c>
      <c r="AY459" t="inlineStr">
        <is>
          <t>2272733260002656</t>
        </is>
      </c>
      <c r="AZ459" t="inlineStr">
        <is>
          <t>BOOK</t>
        </is>
      </c>
      <c r="BB459" t="inlineStr">
        <is>
          <t>9781560000211</t>
        </is>
      </c>
      <c r="BC459" t="inlineStr">
        <is>
          <t>32285001729119</t>
        </is>
      </c>
      <c r="BD459" t="inlineStr">
        <is>
          <t>893691039</t>
        </is>
      </c>
    </row>
    <row r="460">
      <c r="A460" t="inlineStr">
        <is>
          <t>No</t>
        </is>
      </c>
      <c r="B460" t="inlineStr">
        <is>
          <t>HV6197.U5 P377 2000</t>
        </is>
      </c>
      <c r="C460" t="inlineStr">
        <is>
          <t>0                      HV 6197000U  5                  P  377         2000</t>
        </is>
      </c>
      <c r="D460" t="inlineStr">
        <is>
          <t>Perspectives. Race and crime / academic editors, Robert L. Bing III, Alejandro del Carmen.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L460" t="inlineStr">
        <is>
          <t>Bellevue, [NY] : Coursewise Pub., c2000.</t>
        </is>
      </c>
      <c r="M460" t="inlineStr">
        <is>
          <t>2000</t>
        </is>
      </c>
      <c r="O460" t="inlineStr">
        <is>
          <t>eng</t>
        </is>
      </c>
      <c r="P460" t="inlineStr">
        <is>
          <t>nyu</t>
        </is>
      </c>
      <c r="Q460" t="inlineStr">
        <is>
          <t>Perspectives</t>
        </is>
      </c>
      <c r="R460" t="inlineStr">
        <is>
          <t xml:space="preserve">HV </t>
        </is>
      </c>
      <c r="S460" t="n">
        <v>5</v>
      </c>
      <c r="T460" t="n">
        <v>5</v>
      </c>
      <c r="U460" t="inlineStr">
        <is>
          <t>2008-10-13</t>
        </is>
      </c>
      <c r="V460" t="inlineStr">
        <is>
          <t>2008-10-13</t>
        </is>
      </c>
      <c r="W460" t="inlineStr">
        <is>
          <t>2000-07-18</t>
        </is>
      </c>
      <c r="X460" t="inlineStr">
        <is>
          <t>2000-07-18</t>
        </is>
      </c>
      <c r="Y460" t="n">
        <v>13</v>
      </c>
      <c r="Z460" t="n">
        <v>11</v>
      </c>
      <c r="AA460" t="n">
        <v>11</v>
      </c>
      <c r="AB460" t="n">
        <v>1</v>
      </c>
      <c r="AC460" t="n">
        <v>1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inlineStr">
        <is>
          <t>No</t>
        </is>
      </c>
      <c r="AQ460" t="inlineStr">
        <is>
          <t>No</t>
        </is>
      </c>
      <c r="AS460">
        <f>HYPERLINK("https://creighton-primo.hosted.exlibrisgroup.com/primo-explore/search?tab=default_tab&amp;search_scope=EVERYTHING&amp;vid=01CRU&amp;lang=en_US&amp;offset=0&amp;query=any,contains,991003203949702656","Catalog Record")</f>
        <v/>
      </c>
      <c r="AT460">
        <f>HYPERLINK("http://www.worldcat.org/oclc/43031460","WorldCat Record")</f>
        <v/>
      </c>
      <c r="AU460" t="inlineStr">
        <is>
          <t>28233492:eng</t>
        </is>
      </c>
      <c r="AV460" t="inlineStr">
        <is>
          <t>43031460</t>
        </is>
      </c>
      <c r="AW460" t="inlineStr">
        <is>
          <t>991003203949702656</t>
        </is>
      </c>
      <c r="AX460" t="inlineStr">
        <is>
          <t>991003203949702656</t>
        </is>
      </c>
      <c r="AY460" t="inlineStr">
        <is>
          <t>2261237550002656</t>
        </is>
      </c>
      <c r="AZ460" t="inlineStr">
        <is>
          <t>BOOK</t>
        </is>
      </c>
      <c r="BB460" t="inlineStr">
        <is>
          <t>9780618025800</t>
        </is>
      </c>
      <c r="BC460" t="inlineStr">
        <is>
          <t>32285003687208</t>
        </is>
      </c>
      <c r="BD460" t="inlineStr">
        <is>
          <t>893524542</t>
        </is>
      </c>
    </row>
    <row r="461">
      <c r="A461" t="inlineStr">
        <is>
          <t>No</t>
        </is>
      </c>
      <c r="B461" t="inlineStr">
        <is>
          <t>HV6197.U5 S97 2000</t>
        </is>
      </c>
      <c r="C461" t="inlineStr">
        <is>
          <t>0                      HV 6197000U  5                  S  97          2000</t>
        </is>
      </c>
      <c r="D461" t="inlineStr">
        <is>
          <t>The system in black and white : exploring the connections between race, crime, and justice / edited by Michael W. Markowitz and Delores D. Jones-Brown.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Westport, Conn. : Praeger, 2000.</t>
        </is>
      </c>
      <c r="M461" t="inlineStr">
        <is>
          <t>2000</t>
        </is>
      </c>
      <c r="O461" t="inlineStr">
        <is>
          <t>eng</t>
        </is>
      </c>
      <c r="P461" t="inlineStr">
        <is>
          <t>ctu</t>
        </is>
      </c>
      <c r="R461" t="inlineStr">
        <is>
          <t xml:space="preserve">HV </t>
        </is>
      </c>
      <c r="S461" t="n">
        <v>11</v>
      </c>
      <c r="T461" t="n">
        <v>11</v>
      </c>
      <c r="U461" t="inlineStr">
        <is>
          <t>2008-10-13</t>
        </is>
      </c>
      <c r="V461" t="inlineStr">
        <is>
          <t>2008-10-13</t>
        </is>
      </c>
      <c r="W461" t="inlineStr">
        <is>
          <t>2001-05-09</t>
        </is>
      </c>
      <c r="X461" t="inlineStr">
        <is>
          <t>2001-05-09</t>
        </is>
      </c>
      <c r="Y461" t="n">
        <v>638</v>
      </c>
      <c r="Z461" t="n">
        <v>580</v>
      </c>
      <c r="AA461" t="n">
        <v>920</v>
      </c>
      <c r="AB461" t="n">
        <v>5</v>
      </c>
      <c r="AC461" t="n">
        <v>7</v>
      </c>
      <c r="AD461" t="n">
        <v>35</v>
      </c>
      <c r="AE461" t="n">
        <v>39</v>
      </c>
      <c r="AF461" t="n">
        <v>14</v>
      </c>
      <c r="AG461" t="n">
        <v>16</v>
      </c>
      <c r="AH461" t="n">
        <v>6</v>
      </c>
      <c r="AI461" t="n">
        <v>6</v>
      </c>
      <c r="AJ461" t="n">
        <v>11</v>
      </c>
      <c r="AK461" t="n">
        <v>12</v>
      </c>
      <c r="AL461" t="n">
        <v>4</v>
      </c>
      <c r="AM461" t="n">
        <v>6</v>
      </c>
      <c r="AN461" t="n">
        <v>5</v>
      </c>
      <c r="AO461" t="n">
        <v>5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HYPERLINK("https://creighton-primo.hosted.exlibrisgroup.com/primo-explore/search?tab=default_tab&amp;search_scope=EVERYTHING&amp;vid=01CRU&amp;lang=en_US&amp;offset=0&amp;query=any,contains,991003515619702656","Catalog Record")</f>
        <v/>
      </c>
      <c r="AT461">
        <f>HYPERLINK("http://www.worldcat.org/oclc/40444527","WorldCat Record")</f>
        <v/>
      </c>
      <c r="AU461" t="inlineStr">
        <is>
          <t>797245343:eng</t>
        </is>
      </c>
      <c r="AV461" t="inlineStr">
        <is>
          <t>40444527</t>
        </is>
      </c>
      <c r="AW461" t="inlineStr">
        <is>
          <t>991003515619702656</t>
        </is>
      </c>
      <c r="AX461" t="inlineStr">
        <is>
          <t>991003515619702656</t>
        </is>
      </c>
      <c r="AY461" t="inlineStr">
        <is>
          <t>2272807260002656</t>
        </is>
      </c>
      <c r="AZ461" t="inlineStr">
        <is>
          <t>BOOK</t>
        </is>
      </c>
      <c r="BB461" t="inlineStr">
        <is>
          <t>9780275959746</t>
        </is>
      </c>
      <c r="BC461" t="inlineStr">
        <is>
          <t>32285004316906</t>
        </is>
      </c>
      <c r="BD461" t="inlineStr">
        <is>
          <t>893416462</t>
        </is>
      </c>
    </row>
    <row r="462">
      <c r="A462" t="inlineStr">
        <is>
          <t>No</t>
        </is>
      </c>
      <c r="B462" t="inlineStr">
        <is>
          <t>HV6208 .L79</t>
        </is>
      </c>
      <c r="C462" t="inlineStr">
        <is>
          <t>0                      HV 6208000L  79</t>
        </is>
      </c>
      <c r="D462" t="inlineStr">
        <is>
          <t>Facts on crimes and criminals.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Lunden, Walter A. (Walter Albin), 1899-1990.</t>
        </is>
      </c>
      <c r="L462" t="inlineStr">
        <is>
          <t>Ames, Iowa : Art Press, [1961]</t>
        </is>
      </c>
      <c r="M462" t="inlineStr">
        <is>
          <t>1961</t>
        </is>
      </c>
      <c r="O462" t="inlineStr">
        <is>
          <t>eng</t>
        </is>
      </c>
      <c r="P462" t="inlineStr">
        <is>
          <t xml:space="preserve">xx </t>
        </is>
      </c>
      <c r="R462" t="inlineStr">
        <is>
          <t xml:space="preserve">HV </t>
        </is>
      </c>
      <c r="S462" t="n">
        <v>1</v>
      </c>
      <c r="T462" t="n">
        <v>1</v>
      </c>
      <c r="U462" t="inlineStr">
        <is>
          <t>2007-02-06</t>
        </is>
      </c>
      <c r="V462" t="inlineStr">
        <is>
          <t>2007-02-06</t>
        </is>
      </c>
      <c r="W462" t="inlineStr">
        <is>
          <t>1994-04-08</t>
        </is>
      </c>
      <c r="X462" t="inlineStr">
        <is>
          <t>1994-04-08</t>
        </is>
      </c>
      <c r="Y462" t="n">
        <v>64</v>
      </c>
      <c r="Z462" t="n">
        <v>57</v>
      </c>
      <c r="AA462" t="n">
        <v>59</v>
      </c>
      <c r="AB462" t="n">
        <v>1</v>
      </c>
      <c r="AC462" t="n">
        <v>1</v>
      </c>
      <c r="AD462" t="n">
        <v>5</v>
      </c>
      <c r="AE462" t="n">
        <v>5</v>
      </c>
      <c r="AF462" t="n">
        <v>2</v>
      </c>
      <c r="AG462" t="n">
        <v>2</v>
      </c>
      <c r="AH462" t="n">
        <v>1</v>
      </c>
      <c r="AI462" t="n">
        <v>1</v>
      </c>
      <c r="AJ462" t="n">
        <v>0</v>
      </c>
      <c r="AK462" t="n">
        <v>0</v>
      </c>
      <c r="AL462" t="n">
        <v>0</v>
      </c>
      <c r="AM462" t="n">
        <v>0</v>
      </c>
      <c r="AN462" t="n">
        <v>2</v>
      </c>
      <c r="AO462" t="n">
        <v>2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HYPERLINK("http://catalog.hathitrust.org/Record/006750587","HathiTrust Record")</f>
        <v/>
      </c>
      <c r="AS462">
        <f>HYPERLINK("https://creighton-primo.hosted.exlibrisgroup.com/primo-explore/search?tab=default_tab&amp;search_scope=EVERYTHING&amp;vid=01CRU&amp;lang=en_US&amp;offset=0&amp;query=any,contains,991003819299702656","Catalog Record")</f>
        <v/>
      </c>
      <c r="AT462">
        <f>HYPERLINK("http://www.worldcat.org/oclc/1555689","WorldCat Record")</f>
        <v/>
      </c>
      <c r="AU462" t="inlineStr">
        <is>
          <t>3855584833:eng</t>
        </is>
      </c>
      <c r="AV462" t="inlineStr">
        <is>
          <t>1555689</t>
        </is>
      </c>
      <c r="AW462" t="inlineStr">
        <is>
          <t>991003819299702656</t>
        </is>
      </c>
      <c r="AX462" t="inlineStr">
        <is>
          <t>991003819299702656</t>
        </is>
      </c>
      <c r="AY462" t="inlineStr">
        <is>
          <t>2267957020002656</t>
        </is>
      </c>
      <c r="AZ462" t="inlineStr">
        <is>
          <t>BOOK</t>
        </is>
      </c>
      <c r="BC462" t="inlineStr">
        <is>
          <t>32285001874634</t>
        </is>
      </c>
      <c r="BD462" t="inlineStr">
        <is>
          <t>893868909</t>
        </is>
      </c>
    </row>
    <row r="463">
      <c r="A463" t="inlineStr">
        <is>
          <t>No</t>
        </is>
      </c>
      <c r="B463" t="inlineStr">
        <is>
          <t>HV6248 .C6673 2003</t>
        </is>
      </c>
      <c r="C463" t="inlineStr">
        <is>
          <t>0                      HV 6248000C  6673        2003</t>
        </is>
      </c>
      <c r="D463" t="inlineStr">
        <is>
          <t>Double deal : the inside story of murder, unbridled corruption and the cop who was a mobster / Michael Corbitt with Sam Giancana.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Corbitt, Michael.</t>
        </is>
      </c>
      <c r="L463" t="inlineStr">
        <is>
          <t>New York : William Morrow, c2003.</t>
        </is>
      </c>
      <c r="M463" t="inlineStr">
        <is>
          <t>2003</t>
        </is>
      </c>
      <c r="N463" t="inlineStr">
        <is>
          <t>1st ed.</t>
        </is>
      </c>
      <c r="O463" t="inlineStr">
        <is>
          <t>eng</t>
        </is>
      </c>
      <c r="P463" t="inlineStr">
        <is>
          <t>nyu</t>
        </is>
      </c>
      <c r="R463" t="inlineStr">
        <is>
          <t xml:space="preserve">HV </t>
        </is>
      </c>
      <c r="S463" t="n">
        <v>2</v>
      </c>
      <c r="T463" t="n">
        <v>2</v>
      </c>
      <c r="U463" t="inlineStr">
        <is>
          <t>2003-07-28</t>
        </is>
      </c>
      <c r="V463" t="inlineStr">
        <is>
          <t>2003-07-28</t>
        </is>
      </c>
      <c r="W463" t="inlineStr">
        <is>
          <t>2003-06-18</t>
        </is>
      </c>
      <c r="X463" t="inlineStr">
        <is>
          <t>2003-06-18</t>
        </is>
      </c>
      <c r="Y463" t="n">
        <v>753</v>
      </c>
      <c r="Z463" t="n">
        <v>723</v>
      </c>
      <c r="AA463" t="n">
        <v>817</v>
      </c>
      <c r="AB463" t="n">
        <v>6</v>
      </c>
      <c r="AC463" t="n">
        <v>6</v>
      </c>
      <c r="AD463" t="n">
        <v>6</v>
      </c>
      <c r="AE463" t="n">
        <v>6</v>
      </c>
      <c r="AF463" t="n">
        <v>0</v>
      </c>
      <c r="AG463" t="n">
        <v>0</v>
      </c>
      <c r="AH463" t="n">
        <v>2</v>
      </c>
      <c r="AI463" t="n">
        <v>2</v>
      </c>
      <c r="AJ463" t="n">
        <v>3</v>
      </c>
      <c r="AK463" t="n">
        <v>3</v>
      </c>
      <c r="AL463" t="n">
        <v>2</v>
      </c>
      <c r="AM463" t="n">
        <v>2</v>
      </c>
      <c r="AN463" t="n">
        <v>0</v>
      </c>
      <c r="AO463" t="n">
        <v>0</v>
      </c>
      <c r="AP463" t="inlineStr">
        <is>
          <t>No</t>
        </is>
      </c>
      <c r="AQ463" t="inlineStr">
        <is>
          <t>No</t>
        </is>
      </c>
      <c r="AS463">
        <f>HYPERLINK("https://creighton-primo.hosted.exlibrisgroup.com/primo-explore/search?tab=default_tab&amp;search_scope=EVERYTHING&amp;vid=01CRU&amp;lang=en_US&amp;offset=0&amp;query=any,contains,991004074669702656","Catalog Record")</f>
        <v/>
      </c>
      <c r="AT463">
        <f>HYPERLINK("http://www.worldcat.org/oclc/51689295","WorldCat Record")</f>
        <v/>
      </c>
      <c r="AU463" t="inlineStr">
        <is>
          <t>650999:eng</t>
        </is>
      </c>
      <c r="AV463" t="inlineStr">
        <is>
          <t>51689295</t>
        </is>
      </c>
      <c r="AW463" t="inlineStr">
        <is>
          <t>991004074669702656</t>
        </is>
      </c>
      <c r="AX463" t="inlineStr">
        <is>
          <t>991004074669702656</t>
        </is>
      </c>
      <c r="AY463" t="inlineStr">
        <is>
          <t>2266870760002656</t>
        </is>
      </c>
      <c r="AZ463" t="inlineStr">
        <is>
          <t>BOOK</t>
        </is>
      </c>
      <c r="BB463" t="inlineStr">
        <is>
          <t>9780060195854</t>
        </is>
      </c>
      <c r="BC463" t="inlineStr">
        <is>
          <t>32285004753736</t>
        </is>
      </c>
      <c r="BD463" t="inlineStr">
        <is>
          <t>893900775</t>
        </is>
      </c>
    </row>
    <row r="464">
      <c r="A464" t="inlineStr">
        <is>
          <t>No</t>
        </is>
      </c>
      <c r="B464" t="inlineStr">
        <is>
          <t>HV6248.B665 C37 1986</t>
        </is>
      </c>
      <c r="C464" t="inlineStr">
        <is>
          <t>0                      HV 6248000B  665                C  37          1986</t>
        </is>
      </c>
      <c r="D464" t="inlineStr">
        <is>
          <t>The big dance : the untold story of Kathy Boudin and the terrorist family that committed the Brink's robbery murders / [by] John Castellucci.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Castellucci, John.</t>
        </is>
      </c>
      <c r="L464" t="inlineStr">
        <is>
          <t>New York : Dodd, Mead, c1986.</t>
        </is>
      </c>
      <c r="M464" t="inlineStr">
        <is>
          <t>1986</t>
        </is>
      </c>
      <c r="N464" t="inlineStr">
        <is>
          <t>1st ed.</t>
        </is>
      </c>
      <c r="O464" t="inlineStr">
        <is>
          <t>eng</t>
        </is>
      </c>
      <c r="P464" t="inlineStr">
        <is>
          <t>nyu</t>
        </is>
      </c>
      <c r="R464" t="inlineStr">
        <is>
          <t xml:space="preserve">HV </t>
        </is>
      </c>
      <c r="S464" t="n">
        <v>4</v>
      </c>
      <c r="T464" t="n">
        <v>4</v>
      </c>
      <c r="U464" t="inlineStr">
        <is>
          <t>2010-07-15</t>
        </is>
      </c>
      <c r="V464" t="inlineStr">
        <is>
          <t>2010-07-15</t>
        </is>
      </c>
      <c r="W464" t="inlineStr">
        <is>
          <t>2007-04-11</t>
        </is>
      </c>
      <c r="X464" t="inlineStr">
        <is>
          <t>2007-04-11</t>
        </is>
      </c>
      <c r="Y464" t="n">
        <v>432</v>
      </c>
      <c r="Z464" t="n">
        <v>421</v>
      </c>
      <c r="AA464" t="n">
        <v>423</v>
      </c>
      <c r="AB464" t="n">
        <v>2</v>
      </c>
      <c r="AC464" t="n">
        <v>2</v>
      </c>
      <c r="AD464" t="n">
        <v>8</v>
      </c>
      <c r="AE464" t="n">
        <v>8</v>
      </c>
      <c r="AF464" t="n">
        <v>3</v>
      </c>
      <c r="AG464" t="n">
        <v>3</v>
      </c>
      <c r="AH464" t="n">
        <v>1</v>
      </c>
      <c r="AI464" t="n">
        <v>1</v>
      </c>
      <c r="AJ464" t="n">
        <v>7</v>
      </c>
      <c r="AK464" t="n">
        <v>7</v>
      </c>
      <c r="AL464" t="n">
        <v>0</v>
      </c>
      <c r="AM464" t="n">
        <v>0</v>
      </c>
      <c r="AN464" t="n">
        <v>1</v>
      </c>
      <c r="AO464" t="n">
        <v>1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HYPERLINK("https://creighton-primo.hosted.exlibrisgroup.com/primo-explore/search?tab=default_tab&amp;search_scope=EVERYTHING&amp;vid=01CRU&amp;lang=en_US&amp;offset=0&amp;query=any,contains,991005067029702656","Catalog Record")</f>
        <v/>
      </c>
      <c r="AT464">
        <f>HYPERLINK("http://www.worldcat.org/oclc/12669487","WorldCat Record")</f>
        <v/>
      </c>
      <c r="AU464" t="inlineStr">
        <is>
          <t>5464021:eng</t>
        </is>
      </c>
      <c r="AV464" t="inlineStr">
        <is>
          <t>12669487</t>
        </is>
      </c>
      <c r="AW464" t="inlineStr">
        <is>
          <t>991005067029702656</t>
        </is>
      </c>
      <c r="AX464" t="inlineStr">
        <is>
          <t>991005067029702656</t>
        </is>
      </c>
      <c r="AY464" t="inlineStr">
        <is>
          <t>2268352980002656</t>
        </is>
      </c>
      <c r="AZ464" t="inlineStr">
        <is>
          <t>BOOK</t>
        </is>
      </c>
      <c r="BB464" t="inlineStr">
        <is>
          <t>9780396087137</t>
        </is>
      </c>
      <c r="BC464" t="inlineStr">
        <is>
          <t>32285005286348</t>
        </is>
      </c>
      <c r="BD464" t="inlineStr">
        <is>
          <t>893338442</t>
        </is>
      </c>
    </row>
    <row r="465">
      <c r="A465" t="inlineStr">
        <is>
          <t>No</t>
        </is>
      </c>
      <c r="B465" t="inlineStr">
        <is>
          <t>HV6248.B773 R84 1981</t>
        </is>
      </c>
      <c r="C465" t="inlineStr">
        <is>
          <t>0                      HV 6248000B  773                R  84          1981</t>
        </is>
      </c>
      <c r="D465" t="inlineStr">
        <is>
          <t>The stranger beside me / Ann Rule.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Rule, Ann.</t>
        </is>
      </c>
      <c r="L465" t="inlineStr">
        <is>
          <t>New York : New American Library, 1981, c1980.</t>
        </is>
      </c>
      <c r="M465" t="inlineStr">
        <is>
          <t>1981</t>
        </is>
      </c>
      <c r="O465" t="inlineStr">
        <is>
          <t>eng</t>
        </is>
      </c>
      <c r="P465" t="inlineStr">
        <is>
          <t>nyu</t>
        </is>
      </c>
      <c r="R465" t="inlineStr">
        <is>
          <t xml:space="preserve">HV </t>
        </is>
      </c>
      <c r="S465" t="n">
        <v>14</v>
      </c>
      <c r="T465" t="n">
        <v>14</v>
      </c>
      <c r="U465" t="inlineStr">
        <is>
          <t>2007-03-12</t>
        </is>
      </c>
      <c r="V465" t="inlineStr">
        <is>
          <t>2007-03-12</t>
        </is>
      </c>
      <c r="W465" t="inlineStr">
        <is>
          <t>1990-02-08</t>
        </is>
      </c>
      <c r="X465" t="inlineStr">
        <is>
          <t>1990-02-08</t>
        </is>
      </c>
      <c r="Y465" t="n">
        <v>86</v>
      </c>
      <c r="Z465" t="n">
        <v>82</v>
      </c>
      <c r="AA465" t="n">
        <v>2306</v>
      </c>
      <c r="AB465" t="n">
        <v>2</v>
      </c>
      <c r="AC465" t="n">
        <v>30</v>
      </c>
      <c r="AD465" t="n">
        <v>1</v>
      </c>
      <c r="AE465" t="n">
        <v>18</v>
      </c>
      <c r="AF465" t="n">
        <v>0</v>
      </c>
      <c r="AG465" t="n">
        <v>5</v>
      </c>
      <c r="AH465" t="n">
        <v>0</v>
      </c>
      <c r="AI465" t="n">
        <v>1</v>
      </c>
      <c r="AJ465" t="n">
        <v>0</v>
      </c>
      <c r="AK465" t="n">
        <v>5</v>
      </c>
      <c r="AL465" t="n">
        <v>1</v>
      </c>
      <c r="AM465" t="n">
        <v>6</v>
      </c>
      <c r="AN465" t="n">
        <v>0</v>
      </c>
      <c r="AO465" t="n">
        <v>2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HYPERLINK("https://creighton-primo.hosted.exlibrisgroup.com/primo-explore/search?tab=default_tab&amp;search_scope=EVERYTHING&amp;vid=01CRU&amp;lang=en_US&amp;offset=0&amp;query=any,contains,991005138089702656","Catalog Record")</f>
        <v/>
      </c>
      <c r="AT465">
        <f>HYPERLINK("http://www.worldcat.org/oclc/7591515","WorldCat Record")</f>
        <v/>
      </c>
      <c r="AU465" t="inlineStr">
        <is>
          <t>44980:eng</t>
        </is>
      </c>
      <c r="AV465" t="inlineStr">
        <is>
          <t>7591515</t>
        </is>
      </c>
      <c r="AW465" t="inlineStr">
        <is>
          <t>991005138089702656</t>
        </is>
      </c>
      <c r="AX465" t="inlineStr">
        <is>
          <t>991005138089702656</t>
        </is>
      </c>
      <c r="AY465" t="inlineStr">
        <is>
          <t>2271179580002656</t>
        </is>
      </c>
      <c r="AZ465" t="inlineStr">
        <is>
          <t>BOOK</t>
        </is>
      </c>
      <c r="BB465" t="inlineStr">
        <is>
          <t>9780451098887</t>
        </is>
      </c>
      <c r="BC465" t="inlineStr">
        <is>
          <t>32285000008341</t>
        </is>
      </c>
      <c r="BD465" t="inlineStr">
        <is>
          <t>893688651</t>
        </is>
      </c>
    </row>
    <row r="466">
      <c r="A466" t="inlineStr">
        <is>
          <t>No</t>
        </is>
      </c>
      <c r="B466" t="inlineStr">
        <is>
          <t>HV6248.C125 C66 2002</t>
        </is>
      </c>
      <c r="C466" t="inlineStr">
        <is>
          <t>0                      HV 6248000C  125                C  66          2002</t>
        </is>
      </c>
      <c r="D466" t="inlineStr">
        <is>
          <t>Tailspin : the strange case of Major Call / by Bernard F. Conners.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Conners, Bernard F.</t>
        </is>
      </c>
      <c r="L466" t="inlineStr">
        <is>
          <t>Latham, N.Y. : British American Pub., c2002.</t>
        </is>
      </c>
      <c r="M466" t="inlineStr">
        <is>
          <t>2002</t>
        </is>
      </c>
      <c r="O466" t="inlineStr">
        <is>
          <t>eng</t>
        </is>
      </c>
      <c r="P466" t="inlineStr">
        <is>
          <t>nyu</t>
        </is>
      </c>
      <c r="R466" t="inlineStr">
        <is>
          <t xml:space="preserve">HV </t>
        </is>
      </c>
      <c r="S466" t="n">
        <v>2</v>
      </c>
      <c r="T466" t="n">
        <v>2</v>
      </c>
      <c r="U466" t="inlineStr">
        <is>
          <t>2002-07-31</t>
        </is>
      </c>
      <c r="V466" t="inlineStr">
        <is>
          <t>2002-07-31</t>
        </is>
      </c>
      <c r="W466" t="inlineStr">
        <is>
          <t>2002-07-31</t>
        </is>
      </c>
      <c r="X466" t="inlineStr">
        <is>
          <t>2002-07-31</t>
        </is>
      </c>
      <c r="Y466" t="n">
        <v>559</v>
      </c>
      <c r="Z466" t="n">
        <v>552</v>
      </c>
      <c r="AA466" t="n">
        <v>565</v>
      </c>
      <c r="AB466" t="n">
        <v>2</v>
      </c>
      <c r="AC466" t="n">
        <v>2</v>
      </c>
      <c r="AD466" t="n">
        <v>3</v>
      </c>
      <c r="AE466" t="n">
        <v>3</v>
      </c>
      <c r="AF466" t="n">
        <v>2</v>
      </c>
      <c r="AG466" t="n">
        <v>2</v>
      </c>
      <c r="AH466" t="n">
        <v>0</v>
      </c>
      <c r="AI466" t="n">
        <v>0</v>
      </c>
      <c r="AJ466" t="n">
        <v>0</v>
      </c>
      <c r="AK466" t="n">
        <v>0</v>
      </c>
      <c r="AL466" t="n">
        <v>0</v>
      </c>
      <c r="AM466" t="n">
        <v>0</v>
      </c>
      <c r="AN466" t="n">
        <v>1</v>
      </c>
      <c r="AO466" t="n">
        <v>1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HYPERLINK("http://catalog.hathitrust.org/Record/102023325","HathiTrust Record")</f>
        <v/>
      </c>
      <c r="AS466">
        <f>HYPERLINK("https://creighton-primo.hosted.exlibrisgroup.com/primo-explore/search?tab=default_tab&amp;search_scope=EVERYTHING&amp;vid=01CRU&amp;lang=en_US&amp;offset=0&amp;query=any,contains,991003844249702656","Catalog Record")</f>
        <v/>
      </c>
      <c r="AT466">
        <f>HYPERLINK("http://www.worldcat.org/oclc/48383277","WorldCat Record")</f>
        <v/>
      </c>
      <c r="AU466" t="inlineStr">
        <is>
          <t>744244:eng</t>
        </is>
      </c>
      <c r="AV466" t="inlineStr">
        <is>
          <t>48383277</t>
        </is>
      </c>
      <c r="AW466" t="inlineStr">
        <is>
          <t>991003844249702656</t>
        </is>
      </c>
      <c r="AX466" t="inlineStr">
        <is>
          <t>991003844249702656</t>
        </is>
      </c>
      <c r="AY466" t="inlineStr">
        <is>
          <t>2271921020002656</t>
        </is>
      </c>
      <c r="AZ466" t="inlineStr">
        <is>
          <t>BOOK</t>
        </is>
      </c>
      <c r="BB466" t="inlineStr">
        <is>
          <t>9780945167501</t>
        </is>
      </c>
      <c r="BC466" t="inlineStr">
        <is>
          <t>32285004641188</t>
        </is>
      </c>
      <c r="BD466" t="inlineStr">
        <is>
          <t>893787861</t>
        </is>
      </c>
    </row>
    <row r="467">
      <c r="A467" t="inlineStr">
        <is>
          <t>No</t>
        </is>
      </c>
      <c r="B467" t="inlineStr">
        <is>
          <t>HV6248.C17 B47 1994</t>
        </is>
      </c>
      <c r="C467" t="inlineStr">
        <is>
          <t>0                      HV 6248000C  17                 B  47          1994</t>
        </is>
      </c>
      <c r="D467" t="inlineStr">
        <is>
          <t>Capone : the man and the era / Laurence Bergreen.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Bergreen, Laurence.</t>
        </is>
      </c>
      <c r="L467" t="inlineStr">
        <is>
          <t>New York : Simon &amp; Schuster, c1994.</t>
        </is>
      </c>
      <c r="M467" t="inlineStr">
        <is>
          <t>1994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HV </t>
        </is>
      </c>
      <c r="S467" t="n">
        <v>21</v>
      </c>
      <c r="T467" t="n">
        <v>21</v>
      </c>
      <c r="U467" t="inlineStr">
        <is>
          <t>2007-12-11</t>
        </is>
      </c>
      <c r="V467" t="inlineStr">
        <is>
          <t>2007-12-11</t>
        </is>
      </c>
      <c r="W467" t="inlineStr">
        <is>
          <t>1994-09-29</t>
        </is>
      </c>
      <c r="X467" t="inlineStr">
        <is>
          <t>1994-09-29</t>
        </is>
      </c>
      <c r="Y467" t="n">
        <v>1071</v>
      </c>
      <c r="Z467" t="n">
        <v>1024</v>
      </c>
      <c r="AA467" t="n">
        <v>1256</v>
      </c>
      <c r="AB467" t="n">
        <v>11</v>
      </c>
      <c r="AC467" t="n">
        <v>11</v>
      </c>
      <c r="AD467" t="n">
        <v>23</v>
      </c>
      <c r="AE467" t="n">
        <v>25</v>
      </c>
      <c r="AF467" t="n">
        <v>8</v>
      </c>
      <c r="AG467" t="n">
        <v>9</v>
      </c>
      <c r="AH467" t="n">
        <v>5</v>
      </c>
      <c r="AI467" t="n">
        <v>6</v>
      </c>
      <c r="AJ467" t="n">
        <v>13</v>
      </c>
      <c r="AK467" t="n">
        <v>14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HYPERLINK("https://creighton-primo.hosted.exlibrisgroup.com/primo-explore/search?tab=default_tab&amp;search_scope=EVERYTHING&amp;vid=01CRU&amp;lang=en_US&amp;offset=0&amp;query=any,contains,991002303749702656","Catalog Record")</f>
        <v/>
      </c>
      <c r="AT467">
        <f>HYPERLINK("http://www.worldcat.org/oclc/29877924","WorldCat Record")</f>
        <v/>
      </c>
      <c r="AU467" t="inlineStr">
        <is>
          <t>32145511:eng</t>
        </is>
      </c>
      <c r="AV467" t="inlineStr">
        <is>
          <t>29877924</t>
        </is>
      </c>
      <c r="AW467" t="inlineStr">
        <is>
          <t>991002303749702656</t>
        </is>
      </c>
      <c r="AX467" t="inlineStr">
        <is>
          <t>991002303749702656</t>
        </is>
      </c>
      <c r="AY467" t="inlineStr">
        <is>
          <t>2257710700002656</t>
        </is>
      </c>
      <c r="AZ467" t="inlineStr">
        <is>
          <t>BOOK</t>
        </is>
      </c>
      <c r="BB467" t="inlineStr">
        <is>
          <t>9780671744564</t>
        </is>
      </c>
      <c r="BC467" t="inlineStr">
        <is>
          <t>32285001947745</t>
        </is>
      </c>
      <c r="BD467" t="inlineStr">
        <is>
          <t>893892403</t>
        </is>
      </c>
    </row>
    <row r="468">
      <c r="A468" t="inlineStr">
        <is>
          <t>No</t>
        </is>
      </c>
      <c r="B468" t="inlineStr">
        <is>
          <t>HV6248.C17 M87 1975</t>
        </is>
      </c>
      <c r="C468" t="inlineStr">
        <is>
          <t>0                      HV 6248000C  17                 M  87          1975</t>
        </is>
      </c>
      <c r="D468" t="inlineStr">
        <is>
          <t>The legacy of Al Capone : portraits and annals of Chicago's public enemies / by George Murray.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Murray, George, 1909-1996.</t>
        </is>
      </c>
      <c r="L468" t="inlineStr">
        <is>
          <t>New York : Putnam, [1975]</t>
        </is>
      </c>
      <c r="M468" t="inlineStr">
        <is>
          <t>1975</t>
        </is>
      </c>
      <c r="O468" t="inlineStr">
        <is>
          <t>eng</t>
        </is>
      </c>
      <c r="P468" t="inlineStr">
        <is>
          <t>nyu</t>
        </is>
      </c>
      <c r="R468" t="inlineStr">
        <is>
          <t xml:space="preserve">HV </t>
        </is>
      </c>
      <c r="S468" t="n">
        <v>23</v>
      </c>
      <c r="T468" t="n">
        <v>23</v>
      </c>
      <c r="U468" t="inlineStr">
        <is>
          <t>2008-01-17</t>
        </is>
      </c>
      <c r="V468" t="inlineStr">
        <is>
          <t>2008-01-17</t>
        </is>
      </c>
      <c r="W468" t="inlineStr">
        <is>
          <t>1992-04-01</t>
        </is>
      </c>
      <c r="X468" t="inlineStr">
        <is>
          <t>1992-04-01</t>
        </is>
      </c>
      <c r="Y468" t="n">
        <v>240</v>
      </c>
      <c r="Z468" t="n">
        <v>223</v>
      </c>
      <c r="AA468" t="n">
        <v>228</v>
      </c>
      <c r="AB468" t="n">
        <v>5</v>
      </c>
      <c r="AC468" t="n">
        <v>5</v>
      </c>
      <c r="AD468" t="n">
        <v>3</v>
      </c>
      <c r="AE468" t="n">
        <v>3</v>
      </c>
      <c r="AF468" t="n">
        <v>1</v>
      </c>
      <c r="AG468" t="n">
        <v>1</v>
      </c>
      <c r="AH468" t="n">
        <v>0</v>
      </c>
      <c r="AI468" t="n">
        <v>0</v>
      </c>
      <c r="AJ468" t="n">
        <v>0</v>
      </c>
      <c r="AK468" t="n">
        <v>0</v>
      </c>
      <c r="AL468" t="n">
        <v>2</v>
      </c>
      <c r="AM468" t="n">
        <v>2</v>
      </c>
      <c r="AN468" t="n">
        <v>0</v>
      </c>
      <c r="AO468" t="n">
        <v>0</v>
      </c>
      <c r="AP468" t="inlineStr">
        <is>
          <t>No</t>
        </is>
      </c>
      <c r="AQ468" t="inlineStr">
        <is>
          <t>No</t>
        </is>
      </c>
      <c r="AS468">
        <f>HYPERLINK("https://creighton-primo.hosted.exlibrisgroup.com/primo-explore/search?tab=default_tab&amp;search_scope=EVERYTHING&amp;vid=01CRU&amp;lang=en_US&amp;offset=0&amp;query=any,contains,991003720599702656","Catalog Record")</f>
        <v/>
      </c>
      <c r="AT468">
        <f>HYPERLINK("http://www.worldcat.org/oclc/1365939","WorldCat Record")</f>
        <v/>
      </c>
      <c r="AU468" t="inlineStr">
        <is>
          <t>2273848:eng</t>
        </is>
      </c>
      <c r="AV468" t="inlineStr">
        <is>
          <t>1365939</t>
        </is>
      </c>
      <c r="AW468" t="inlineStr">
        <is>
          <t>991003720599702656</t>
        </is>
      </c>
      <c r="AX468" t="inlineStr">
        <is>
          <t>991003720599702656</t>
        </is>
      </c>
      <c r="AY468" t="inlineStr">
        <is>
          <t>2256162270002656</t>
        </is>
      </c>
      <c r="AZ468" t="inlineStr">
        <is>
          <t>BOOK</t>
        </is>
      </c>
      <c r="BB468" t="inlineStr">
        <is>
          <t>9780399115028</t>
        </is>
      </c>
      <c r="BC468" t="inlineStr">
        <is>
          <t>32285001031292</t>
        </is>
      </c>
      <c r="BD468" t="inlineStr">
        <is>
          <t>893518801</t>
        </is>
      </c>
    </row>
    <row r="469">
      <c r="A469" t="inlineStr">
        <is>
          <t>No</t>
        </is>
      </c>
      <c r="B469" t="inlineStr">
        <is>
          <t>HV6248.F83 B43</t>
        </is>
      </c>
      <c r="C469" t="inlineStr">
        <is>
          <t>0                      HV 6248000F  83                 B  43</t>
        </is>
      </c>
      <c r="D469" t="inlineStr">
        <is>
          <t>Caril, by Ninette Beaver, B. K. Ripley, and Patrick Trese.</t>
        </is>
      </c>
      <c r="F469" t="inlineStr">
        <is>
          <t>No</t>
        </is>
      </c>
      <c r="G469" t="inlineStr">
        <is>
          <t>1</t>
        </is>
      </c>
      <c r="H469" t="inlineStr">
        <is>
          <t>Yes</t>
        </is>
      </c>
      <c r="I469" t="inlineStr">
        <is>
          <t>No</t>
        </is>
      </c>
      <c r="J469" t="inlineStr">
        <is>
          <t>0</t>
        </is>
      </c>
      <c r="K469" t="inlineStr">
        <is>
          <t>Beaver, Ninette.</t>
        </is>
      </c>
      <c r="L469" t="inlineStr">
        <is>
          <t>Philadelphia, Lippincott [1974]</t>
        </is>
      </c>
      <c r="M469" t="inlineStr">
        <is>
          <t>1974</t>
        </is>
      </c>
      <c r="N469" t="inlineStr">
        <is>
          <t>[1st ed.]</t>
        </is>
      </c>
      <c r="O469" t="inlineStr">
        <is>
          <t>eng</t>
        </is>
      </c>
      <c r="P469" t="inlineStr">
        <is>
          <t>pau</t>
        </is>
      </c>
      <c r="R469" t="inlineStr">
        <is>
          <t xml:space="preserve">HV </t>
        </is>
      </c>
      <c r="S469" t="n">
        <v>13</v>
      </c>
      <c r="T469" t="n">
        <v>16</v>
      </c>
      <c r="U469" t="inlineStr">
        <is>
          <t>2006-02-08</t>
        </is>
      </c>
      <c r="V469" t="inlineStr">
        <is>
          <t>2010-06-08</t>
        </is>
      </c>
      <c r="W469" t="inlineStr">
        <is>
          <t>1997-08-22</t>
        </is>
      </c>
      <c r="X469" t="inlineStr">
        <is>
          <t>1997-08-22</t>
        </is>
      </c>
      <c r="Y469" t="n">
        <v>399</v>
      </c>
      <c r="Z469" t="n">
        <v>393</v>
      </c>
      <c r="AA469" t="n">
        <v>403</v>
      </c>
      <c r="AB469" t="n">
        <v>23</v>
      </c>
      <c r="AC469" t="n">
        <v>24</v>
      </c>
      <c r="AD469" t="n">
        <v>9</v>
      </c>
      <c r="AE469" t="n">
        <v>9</v>
      </c>
      <c r="AF469" t="n">
        <v>2</v>
      </c>
      <c r="AG469" t="n">
        <v>2</v>
      </c>
      <c r="AH469" t="n">
        <v>0</v>
      </c>
      <c r="AI469" t="n">
        <v>0</v>
      </c>
      <c r="AJ469" t="n">
        <v>1</v>
      </c>
      <c r="AK469" t="n">
        <v>1</v>
      </c>
      <c r="AL469" t="n">
        <v>5</v>
      </c>
      <c r="AM469" t="n">
        <v>5</v>
      </c>
      <c r="AN469" t="n">
        <v>1</v>
      </c>
      <c r="AO469" t="n">
        <v>1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HYPERLINK("https://creighton-primo.hosted.exlibrisgroup.com/primo-explore/search?tab=default_tab&amp;search_scope=EVERYTHING&amp;vid=01CRU&amp;lang=en_US&amp;offset=0&amp;query=any,contains,991001687419702656","Catalog Record")</f>
        <v/>
      </c>
      <c r="AT469">
        <f>HYPERLINK("http://www.worldcat.org/oclc/922827","WorldCat Record")</f>
        <v/>
      </c>
      <c r="AU469" t="inlineStr">
        <is>
          <t>1868528:eng</t>
        </is>
      </c>
      <c r="AV469" t="inlineStr">
        <is>
          <t>922827</t>
        </is>
      </c>
      <c r="AW469" t="inlineStr">
        <is>
          <t>991001687419702656</t>
        </is>
      </c>
      <c r="AX469" t="inlineStr">
        <is>
          <t>991001687419702656</t>
        </is>
      </c>
      <c r="AY469" t="inlineStr">
        <is>
          <t>2264899260002656</t>
        </is>
      </c>
      <c r="AZ469" t="inlineStr">
        <is>
          <t>BOOK</t>
        </is>
      </c>
      <c r="BB469" t="inlineStr">
        <is>
          <t>9780397009978</t>
        </is>
      </c>
      <c r="BC469" t="inlineStr">
        <is>
          <t>32285003158101</t>
        </is>
      </c>
      <c r="BD469" t="inlineStr">
        <is>
          <t>893414404</t>
        </is>
      </c>
    </row>
    <row r="470">
      <c r="A470" t="inlineStr">
        <is>
          <t>No</t>
        </is>
      </c>
      <c r="B470" t="inlineStr">
        <is>
          <t>HV6248.L25 L33 1991</t>
        </is>
      </c>
      <c r="C470" t="inlineStr">
        <is>
          <t>0                      HV 6248000L  25                 L  33          1991</t>
        </is>
      </c>
      <c r="D470" t="inlineStr">
        <is>
          <t>Little man : Meyer Lansky and the gangster life / by Robert Lacey.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Lacey, Robert.</t>
        </is>
      </c>
      <c r="L470" t="inlineStr">
        <is>
          <t>Boston : Little, Brown, c1991.</t>
        </is>
      </c>
      <c r="M470" t="inlineStr">
        <is>
          <t>1991</t>
        </is>
      </c>
      <c r="N470" t="inlineStr">
        <is>
          <t>1st ed.</t>
        </is>
      </c>
      <c r="O470" t="inlineStr">
        <is>
          <t>eng</t>
        </is>
      </c>
      <c r="P470" t="inlineStr">
        <is>
          <t>mau</t>
        </is>
      </c>
      <c r="R470" t="inlineStr">
        <is>
          <t xml:space="preserve">HV </t>
        </is>
      </c>
      <c r="S470" t="n">
        <v>26</v>
      </c>
      <c r="T470" t="n">
        <v>26</v>
      </c>
      <c r="U470" t="inlineStr">
        <is>
          <t>2007-11-03</t>
        </is>
      </c>
      <c r="V470" t="inlineStr">
        <is>
          <t>2007-11-03</t>
        </is>
      </c>
      <c r="W470" t="inlineStr">
        <is>
          <t>1991-12-19</t>
        </is>
      </c>
      <c r="X470" t="inlineStr">
        <is>
          <t>1991-12-19</t>
        </is>
      </c>
      <c r="Y470" t="n">
        <v>995</v>
      </c>
      <c r="Z470" t="n">
        <v>933</v>
      </c>
      <c r="AA470" t="n">
        <v>962</v>
      </c>
      <c r="AB470" t="n">
        <v>3</v>
      </c>
      <c r="AC470" t="n">
        <v>5</v>
      </c>
      <c r="AD470" t="n">
        <v>15</v>
      </c>
      <c r="AE470" t="n">
        <v>17</v>
      </c>
      <c r="AF470" t="n">
        <v>6</v>
      </c>
      <c r="AG470" t="n">
        <v>6</v>
      </c>
      <c r="AH470" t="n">
        <v>3</v>
      </c>
      <c r="AI470" t="n">
        <v>3</v>
      </c>
      <c r="AJ470" t="n">
        <v>10</v>
      </c>
      <c r="AK470" t="n">
        <v>10</v>
      </c>
      <c r="AL470" t="n">
        <v>0</v>
      </c>
      <c r="AM470" t="n">
        <v>2</v>
      </c>
      <c r="AN470" t="n">
        <v>1</v>
      </c>
      <c r="AO470" t="n">
        <v>1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HYPERLINK("https://creighton-primo.hosted.exlibrisgroup.com/primo-explore/search?tab=default_tab&amp;search_scope=EVERYTHING&amp;vid=01CRU&amp;lang=en_US&amp;offset=0&amp;query=any,contains,991001887359702656","Catalog Record")</f>
        <v/>
      </c>
      <c r="AT470">
        <f>HYPERLINK("http://www.worldcat.org/oclc/23768703","WorldCat Record")</f>
        <v/>
      </c>
      <c r="AU470" t="inlineStr">
        <is>
          <t>387146:eng</t>
        </is>
      </c>
      <c r="AV470" t="inlineStr">
        <is>
          <t>23768703</t>
        </is>
      </c>
      <c r="AW470" t="inlineStr">
        <is>
          <t>991001887359702656</t>
        </is>
      </c>
      <c r="AX470" t="inlineStr">
        <is>
          <t>991001887359702656</t>
        </is>
      </c>
      <c r="AY470" t="inlineStr">
        <is>
          <t>2269705630002656</t>
        </is>
      </c>
      <c r="AZ470" t="inlineStr">
        <is>
          <t>BOOK</t>
        </is>
      </c>
      <c r="BB470" t="inlineStr">
        <is>
          <t>9780316511681</t>
        </is>
      </c>
      <c r="BC470" t="inlineStr">
        <is>
          <t>32285000861301</t>
        </is>
      </c>
      <c r="BD470" t="inlineStr">
        <is>
          <t>893596807</t>
        </is>
      </c>
    </row>
    <row r="471">
      <c r="A471" t="inlineStr">
        <is>
          <t>No</t>
        </is>
      </c>
      <c r="B471" t="inlineStr">
        <is>
          <t>HV6248.L25 M46</t>
        </is>
      </c>
      <c r="C471" t="inlineStr">
        <is>
          <t>0                      HV 6248000L  25                 M  46</t>
        </is>
      </c>
      <c r="D471" t="inlineStr">
        <is>
          <t>Lansky.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Messick, Hank.</t>
        </is>
      </c>
      <c r="L471" t="inlineStr">
        <is>
          <t>New York : Putnam, [1971]</t>
        </is>
      </c>
      <c r="M471" t="inlineStr">
        <is>
          <t>1971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HV </t>
        </is>
      </c>
      <c r="S471" t="n">
        <v>2</v>
      </c>
      <c r="T471" t="n">
        <v>2</v>
      </c>
      <c r="U471" t="inlineStr">
        <is>
          <t>2007-11-03</t>
        </is>
      </c>
      <c r="V471" t="inlineStr">
        <is>
          <t>2007-11-03</t>
        </is>
      </c>
      <c r="W471" t="inlineStr">
        <is>
          <t>1992-04-11</t>
        </is>
      </c>
      <c r="X471" t="inlineStr">
        <is>
          <t>1992-04-11</t>
        </is>
      </c>
      <c r="Y471" t="n">
        <v>394</v>
      </c>
      <c r="Z471" t="n">
        <v>367</v>
      </c>
      <c r="AA471" t="n">
        <v>405</v>
      </c>
      <c r="AB471" t="n">
        <v>4</v>
      </c>
      <c r="AC471" t="n">
        <v>4</v>
      </c>
      <c r="AD471" t="n">
        <v>11</v>
      </c>
      <c r="AE471" t="n">
        <v>14</v>
      </c>
      <c r="AF471" t="n">
        <v>4</v>
      </c>
      <c r="AG471" t="n">
        <v>6</v>
      </c>
      <c r="AH471" t="n">
        <v>3</v>
      </c>
      <c r="AI471" t="n">
        <v>4</v>
      </c>
      <c r="AJ471" t="n">
        <v>5</v>
      </c>
      <c r="AK471" t="n">
        <v>6</v>
      </c>
      <c r="AL471" t="n">
        <v>2</v>
      </c>
      <c r="AM471" t="n">
        <v>2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HYPERLINK("https://creighton-primo.hosted.exlibrisgroup.com/primo-explore/search?tab=default_tab&amp;search_scope=EVERYTHING&amp;vid=01CRU&amp;lang=en_US&amp;offset=0&amp;query=any,contains,991000774849702656","Catalog Record")</f>
        <v/>
      </c>
      <c r="AT471">
        <f>HYPERLINK("http://www.worldcat.org/oclc/132181","WorldCat Record")</f>
        <v/>
      </c>
      <c r="AU471" t="inlineStr">
        <is>
          <t>1271325:eng</t>
        </is>
      </c>
      <c r="AV471" t="inlineStr">
        <is>
          <t>132181</t>
        </is>
      </c>
      <c r="AW471" t="inlineStr">
        <is>
          <t>991000774849702656</t>
        </is>
      </c>
      <c r="AX471" t="inlineStr">
        <is>
          <t>991000774849702656</t>
        </is>
      </c>
      <c r="AY471" t="inlineStr">
        <is>
          <t>2256809330002656</t>
        </is>
      </c>
      <c r="AZ471" t="inlineStr">
        <is>
          <t>BOOK</t>
        </is>
      </c>
      <c r="BC471" t="inlineStr">
        <is>
          <t>32285001057651</t>
        </is>
      </c>
      <c r="BD471" t="inlineStr">
        <is>
          <t>893595867</t>
        </is>
      </c>
    </row>
    <row r="472">
      <c r="A472" t="inlineStr">
        <is>
          <t>No</t>
        </is>
      </c>
      <c r="B472" t="inlineStr">
        <is>
          <t>HV6248.M82 L86 1980</t>
        </is>
      </c>
      <c r="C472" t="inlineStr">
        <is>
          <t>0                      HV 6248000M  82                 L  86          1980</t>
        </is>
      </c>
      <c r="D472" t="inlineStr">
        <is>
          <t>The die song : a journey into the mind of a mass murderer / Donald T. Lunde and Jefferson Morgan.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Lunde, Donald T.</t>
        </is>
      </c>
      <c r="L472" t="inlineStr">
        <is>
          <t>New York : Norton, c1980.</t>
        </is>
      </c>
      <c r="M472" t="inlineStr">
        <is>
          <t>1980</t>
        </is>
      </c>
      <c r="N472" t="inlineStr">
        <is>
          <t>1st ed.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HV </t>
        </is>
      </c>
      <c r="S472" t="n">
        <v>7</v>
      </c>
      <c r="T472" t="n">
        <v>7</v>
      </c>
      <c r="U472" t="inlineStr">
        <is>
          <t>2002-12-09</t>
        </is>
      </c>
      <c r="V472" t="inlineStr">
        <is>
          <t>2002-12-09</t>
        </is>
      </c>
      <c r="W472" t="inlineStr">
        <is>
          <t>1990-07-06</t>
        </is>
      </c>
      <c r="X472" t="inlineStr">
        <is>
          <t>1990-07-06</t>
        </is>
      </c>
      <c r="Y472" t="n">
        <v>320</v>
      </c>
      <c r="Z472" t="n">
        <v>301</v>
      </c>
      <c r="AA472" t="n">
        <v>308</v>
      </c>
      <c r="AB472" t="n">
        <v>2</v>
      </c>
      <c r="AC472" t="n">
        <v>2</v>
      </c>
      <c r="AD472" t="n">
        <v>5</v>
      </c>
      <c r="AE472" t="n">
        <v>5</v>
      </c>
      <c r="AF472" t="n">
        <v>2</v>
      </c>
      <c r="AG472" t="n">
        <v>2</v>
      </c>
      <c r="AH472" t="n">
        <v>0</v>
      </c>
      <c r="AI472" t="n">
        <v>0</v>
      </c>
      <c r="AJ472" t="n">
        <v>3</v>
      </c>
      <c r="AK472" t="n">
        <v>3</v>
      </c>
      <c r="AL472" t="n">
        <v>0</v>
      </c>
      <c r="AM472" t="n">
        <v>0</v>
      </c>
      <c r="AN472" t="n">
        <v>1</v>
      </c>
      <c r="AO472" t="n">
        <v>1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HYPERLINK("https://creighton-primo.hosted.exlibrisgroup.com/primo-explore/search?tab=default_tab&amp;search_scope=EVERYTHING&amp;vid=01CRU&amp;lang=en_US&amp;offset=0&amp;query=any,contains,991004904509702656","Catalog Record")</f>
        <v/>
      </c>
      <c r="AT472">
        <f>HYPERLINK("http://www.worldcat.org/oclc/5946226","WorldCat Record")</f>
        <v/>
      </c>
      <c r="AU472" t="inlineStr">
        <is>
          <t>459736:eng</t>
        </is>
      </c>
      <c r="AV472" t="inlineStr">
        <is>
          <t>5946226</t>
        </is>
      </c>
      <c r="AW472" t="inlineStr">
        <is>
          <t>991004904509702656</t>
        </is>
      </c>
      <c r="AX472" t="inlineStr">
        <is>
          <t>991004904509702656</t>
        </is>
      </c>
      <c r="AY472" t="inlineStr">
        <is>
          <t>2257960440002656</t>
        </is>
      </c>
      <c r="AZ472" t="inlineStr">
        <is>
          <t>BOOK</t>
        </is>
      </c>
      <c r="BB472" t="inlineStr">
        <is>
          <t>9780393013153</t>
        </is>
      </c>
      <c r="BC472" t="inlineStr">
        <is>
          <t>32285000226554</t>
        </is>
      </c>
      <c r="BD472" t="inlineStr">
        <is>
          <t>893412051</t>
        </is>
      </c>
    </row>
    <row r="473">
      <c r="A473" t="inlineStr">
        <is>
          <t>No</t>
        </is>
      </c>
      <c r="B473" t="inlineStr">
        <is>
          <t>HV6248.S6274 A44</t>
        </is>
      </c>
      <c r="C473" t="inlineStr">
        <is>
          <t>0                      HV 6248000S  6274               A  44</t>
        </is>
      </c>
      <c r="D473" t="inlineStr">
        <is>
          <t>Starkweather : the story of a mass murderer / William Allen.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Allen, William, 1940-</t>
        </is>
      </c>
      <c r="L473" t="inlineStr">
        <is>
          <t>Boston : Houghton Mifflin, 1976.</t>
        </is>
      </c>
      <c r="M473" t="inlineStr">
        <is>
          <t>1976</t>
        </is>
      </c>
      <c r="O473" t="inlineStr">
        <is>
          <t>eng</t>
        </is>
      </c>
      <c r="P473" t="inlineStr">
        <is>
          <t>mau</t>
        </is>
      </c>
      <c r="R473" t="inlineStr">
        <is>
          <t xml:space="preserve">HV </t>
        </is>
      </c>
      <c r="S473" t="n">
        <v>20</v>
      </c>
      <c r="T473" t="n">
        <v>20</v>
      </c>
      <c r="U473" t="inlineStr">
        <is>
          <t>2010-02-26</t>
        </is>
      </c>
      <c r="V473" t="inlineStr">
        <is>
          <t>2010-02-26</t>
        </is>
      </c>
      <c r="W473" t="inlineStr">
        <is>
          <t>1991-02-28</t>
        </is>
      </c>
      <c r="X473" t="inlineStr">
        <is>
          <t>1991-02-28</t>
        </is>
      </c>
      <c r="Y473" t="n">
        <v>395</v>
      </c>
      <c r="Z473" t="n">
        <v>379</v>
      </c>
      <c r="AA473" t="n">
        <v>431</v>
      </c>
      <c r="AB473" t="n">
        <v>27</v>
      </c>
      <c r="AC473" t="n">
        <v>31</v>
      </c>
      <c r="AD473" t="n">
        <v>12</v>
      </c>
      <c r="AE473" t="n">
        <v>15</v>
      </c>
      <c r="AF473" t="n">
        <v>2</v>
      </c>
      <c r="AG473" t="n">
        <v>3</v>
      </c>
      <c r="AH473" t="n">
        <v>0</v>
      </c>
      <c r="AI473" t="n">
        <v>1</v>
      </c>
      <c r="AJ473" t="n">
        <v>2</v>
      </c>
      <c r="AK473" t="n">
        <v>2</v>
      </c>
      <c r="AL473" t="n">
        <v>7</v>
      </c>
      <c r="AM473" t="n">
        <v>8</v>
      </c>
      <c r="AN473" t="n">
        <v>2</v>
      </c>
      <c r="AO473" t="n">
        <v>2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HYPERLINK("http://catalog.hathitrust.org/Record/000716130","HathiTrust Record")</f>
        <v/>
      </c>
      <c r="AS473">
        <f>HYPERLINK("https://creighton-primo.hosted.exlibrisgroup.com/primo-explore/search?tab=default_tab&amp;search_scope=EVERYTHING&amp;vid=01CRU&amp;lang=en_US&amp;offset=0&amp;query=any,contains,991003959389702656","Catalog Record")</f>
        <v/>
      </c>
      <c r="AT473">
        <f>HYPERLINK("http://www.worldcat.org/oclc/1974026","WorldCat Record")</f>
        <v/>
      </c>
      <c r="AU473" t="inlineStr">
        <is>
          <t>2722903:eng</t>
        </is>
      </c>
      <c r="AV473" t="inlineStr">
        <is>
          <t>1974026</t>
        </is>
      </c>
      <c r="AW473" t="inlineStr">
        <is>
          <t>991003959389702656</t>
        </is>
      </c>
      <c r="AX473" t="inlineStr">
        <is>
          <t>991003959389702656</t>
        </is>
      </c>
      <c r="AY473" t="inlineStr">
        <is>
          <t>2262940630002656</t>
        </is>
      </c>
      <c r="AZ473" t="inlineStr">
        <is>
          <t>BOOK</t>
        </is>
      </c>
      <c r="BB473" t="inlineStr">
        <is>
          <t>9780395240779</t>
        </is>
      </c>
      <c r="BC473" t="inlineStr">
        <is>
          <t>32285000494830</t>
        </is>
      </c>
      <c r="BD473" t="inlineStr">
        <is>
          <t>893337185</t>
        </is>
      </c>
    </row>
    <row r="474">
      <c r="A474" t="inlineStr">
        <is>
          <t>No</t>
        </is>
      </c>
      <c r="B474" t="inlineStr">
        <is>
          <t>HV6250.2 .F76 1986</t>
        </is>
      </c>
      <c r="C474" t="inlineStr">
        <is>
          <t>0                      HV 6250200F  76          1986</t>
        </is>
      </c>
      <c r="D474" t="inlineStr">
        <is>
          <t>From crime policy to victim policy : reorienting the justice system / edited by Ezzat A. Fattah.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New York, N.Y. : St. Martin's Press, 1986.</t>
        </is>
      </c>
      <c r="M474" t="inlineStr">
        <is>
          <t>1986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HV </t>
        </is>
      </c>
      <c r="S474" t="n">
        <v>4</v>
      </c>
      <c r="T474" t="n">
        <v>4</v>
      </c>
      <c r="U474" t="inlineStr">
        <is>
          <t>2003-02-15</t>
        </is>
      </c>
      <c r="V474" t="inlineStr">
        <is>
          <t>2003-02-15</t>
        </is>
      </c>
      <c r="W474" t="inlineStr">
        <is>
          <t>1992-07-08</t>
        </is>
      </c>
      <c r="X474" t="inlineStr">
        <is>
          <t>1992-07-08</t>
        </is>
      </c>
      <c r="Y474" t="n">
        <v>237</v>
      </c>
      <c r="Z474" t="n">
        <v>200</v>
      </c>
      <c r="AA474" t="n">
        <v>245</v>
      </c>
      <c r="AB474" t="n">
        <v>3</v>
      </c>
      <c r="AC474" t="n">
        <v>4</v>
      </c>
      <c r="AD474" t="n">
        <v>14</v>
      </c>
      <c r="AE474" t="n">
        <v>16</v>
      </c>
      <c r="AF474" t="n">
        <v>1</v>
      </c>
      <c r="AG474" t="n">
        <v>2</v>
      </c>
      <c r="AH474" t="n">
        <v>1</v>
      </c>
      <c r="AI474" t="n">
        <v>1</v>
      </c>
      <c r="AJ474" t="n">
        <v>6</v>
      </c>
      <c r="AK474" t="n">
        <v>7</v>
      </c>
      <c r="AL474" t="n">
        <v>2</v>
      </c>
      <c r="AM474" t="n">
        <v>3</v>
      </c>
      <c r="AN474" t="n">
        <v>6</v>
      </c>
      <c r="AO474" t="n">
        <v>6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HYPERLINK("https://creighton-primo.hosted.exlibrisgroup.com/primo-explore/search?tab=default_tab&amp;search_scope=EVERYTHING&amp;vid=01CRU&amp;lang=en_US&amp;offset=0&amp;query=any,contains,991000738659702656","Catalog Record")</f>
        <v/>
      </c>
      <c r="AT474">
        <f>HYPERLINK("http://www.worldcat.org/oclc/12804879","WorldCat Record")</f>
        <v/>
      </c>
      <c r="AU474" t="inlineStr">
        <is>
          <t>836681350:eng</t>
        </is>
      </c>
      <c r="AV474" t="inlineStr">
        <is>
          <t>12804879</t>
        </is>
      </c>
      <c r="AW474" t="inlineStr">
        <is>
          <t>991000738659702656</t>
        </is>
      </c>
      <c r="AX474" t="inlineStr">
        <is>
          <t>991000738659702656</t>
        </is>
      </c>
      <c r="AY474" t="inlineStr">
        <is>
          <t>2256060230002656</t>
        </is>
      </c>
      <c r="AZ474" t="inlineStr">
        <is>
          <t>BOOK</t>
        </is>
      </c>
      <c r="BB474" t="inlineStr">
        <is>
          <t>9780312307073</t>
        </is>
      </c>
      <c r="BC474" t="inlineStr">
        <is>
          <t>32285001181485</t>
        </is>
      </c>
      <c r="BD474" t="inlineStr">
        <is>
          <t>893432249</t>
        </is>
      </c>
    </row>
    <row r="475">
      <c r="A475" t="inlineStr">
        <is>
          <t>No</t>
        </is>
      </c>
      <c r="B475" t="inlineStr">
        <is>
          <t>HV6250.25 .L48 1993</t>
        </is>
      </c>
      <c r="C475" t="inlineStr">
        <is>
          <t>0                      HV 6250250L  48          1993</t>
        </is>
      </c>
      <c r="D475" t="inlineStr">
        <is>
          <t>Hate crimes : the rising tide of bigotry and bloodshed / Jack Levin and Jack McDevitt.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Levin, Jack, 1941-</t>
        </is>
      </c>
      <c r="L475" t="inlineStr">
        <is>
          <t>New York : Plenum Press, c1993.</t>
        </is>
      </c>
      <c r="M475" t="inlineStr">
        <is>
          <t>1993</t>
        </is>
      </c>
      <c r="O475" t="inlineStr">
        <is>
          <t>eng</t>
        </is>
      </c>
      <c r="P475" t="inlineStr">
        <is>
          <t>nyu</t>
        </is>
      </c>
      <c r="R475" t="inlineStr">
        <is>
          <t xml:space="preserve">HV </t>
        </is>
      </c>
      <c r="S475" t="n">
        <v>21</v>
      </c>
      <c r="T475" t="n">
        <v>21</v>
      </c>
      <c r="U475" t="inlineStr">
        <is>
          <t>2002-11-06</t>
        </is>
      </c>
      <c r="V475" t="inlineStr">
        <is>
          <t>2002-11-06</t>
        </is>
      </c>
      <c r="W475" t="inlineStr">
        <is>
          <t>1994-02-07</t>
        </is>
      </c>
      <c r="X475" t="inlineStr">
        <is>
          <t>1994-02-07</t>
        </is>
      </c>
      <c r="Y475" t="n">
        <v>921</v>
      </c>
      <c r="Z475" t="n">
        <v>824</v>
      </c>
      <c r="AA475" t="n">
        <v>1240</v>
      </c>
      <c r="AB475" t="n">
        <v>5</v>
      </c>
      <c r="AC475" t="n">
        <v>29</v>
      </c>
      <c r="AD475" t="n">
        <v>31</v>
      </c>
      <c r="AE475" t="n">
        <v>49</v>
      </c>
      <c r="AF475" t="n">
        <v>10</v>
      </c>
      <c r="AG475" t="n">
        <v>14</v>
      </c>
      <c r="AH475" t="n">
        <v>4</v>
      </c>
      <c r="AI475" t="n">
        <v>7</v>
      </c>
      <c r="AJ475" t="n">
        <v>13</v>
      </c>
      <c r="AK475" t="n">
        <v>16</v>
      </c>
      <c r="AL475" t="n">
        <v>4</v>
      </c>
      <c r="AM475" t="n">
        <v>14</v>
      </c>
      <c r="AN475" t="n">
        <v>6</v>
      </c>
      <c r="AO475" t="n">
        <v>6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HYPERLINK("http://catalog.hathitrust.org/Record/002628024","HathiTrust Record")</f>
        <v/>
      </c>
      <c r="AS475">
        <f>HYPERLINK("https://creighton-primo.hosted.exlibrisgroup.com/primo-explore/search?tab=default_tab&amp;search_scope=EVERYTHING&amp;vid=01CRU&amp;lang=en_US&amp;offset=0&amp;query=any,contains,991002112599702656","Catalog Record")</f>
        <v/>
      </c>
      <c r="AT475">
        <f>HYPERLINK("http://www.worldcat.org/oclc/27068529","WorldCat Record")</f>
        <v/>
      </c>
      <c r="AU475" t="inlineStr">
        <is>
          <t>330024:eng</t>
        </is>
      </c>
      <c r="AV475" t="inlineStr">
        <is>
          <t>27068529</t>
        </is>
      </c>
      <c r="AW475" t="inlineStr">
        <is>
          <t>991002112599702656</t>
        </is>
      </c>
      <c r="AX475" t="inlineStr">
        <is>
          <t>991002112599702656</t>
        </is>
      </c>
      <c r="AY475" t="inlineStr">
        <is>
          <t>2256835710002656</t>
        </is>
      </c>
      <c r="AZ475" t="inlineStr">
        <is>
          <t>BOOK</t>
        </is>
      </c>
      <c r="BB475" t="inlineStr">
        <is>
          <t>9780306444715</t>
        </is>
      </c>
      <c r="BC475" t="inlineStr">
        <is>
          <t>32285001840064</t>
        </is>
      </c>
      <c r="BD475" t="inlineStr">
        <is>
          <t>893804230</t>
        </is>
      </c>
    </row>
    <row r="476">
      <c r="A476" t="inlineStr">
        <is>
          <t>No</t>
        </is>
      </c>
      <c r="B476" t="inlineStr">
        <is>
          <t>HV6250.25 .V48 2003</t>
        </is>
      </c>
      <c r="C476" t="inlineStr">
        <is>
          <t>0                      HV 6250250V  48          2003</t>
        </is>
      </c>
      <c r="D476" t="inlineStr">
        <is>
          <t>Victim assistance : exploring individual practice, organizational policy, and societal responses / Thomas L. Underwood, Christine Edmunds, editors.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L476" t="inlineStr">
        <is>
          <t>New York : Springer Pub., c2003.</t>
        </is>
      </c>
      <c r="M476" t="inlineStr">
        <is>
          <t>2003</t>
        </is>
      </c>
      <c r="O476" t="inlineStr">
        <is>
          <t>eng</t>
        </is>
      </c>
      <c r="P476" t="inlineStr">
        <is>
          <t>nyu</t>
        </is>
      </c>
      <c r="Q476" t="inlineStr">
        <is>
          <t>Springer series on family violence</t>
        </is>
      </c>
      <c r="R476" t="inlineStr">
        <is>
          <t xml:space="preserve">HV </t>
        </is>
      </c>
      <c r="S476" t="n">
        <v>2</v>
      </c>
      <c r="T476" t="n">
        <v>2</v>
      </c>
      <c r="U476" t="inlineStr">
        <is>
          <t>2005-01-27</t>
        </is>
      </c>
      <c r="V476" t="inlineStr">
        <is>
          <t>2005-01-27</t>
        </is>
      </c>
      <c r="W476" t="inlineStr">
        <is>
          <t>2005-01-27</t>
        </is>
      </c>
      <c r="X476" t="inlineStr">
        <is>
          <t>2005-01-27</t>
        </is>
      </c>
      <c r="Y476" t="n">
        <v>254</v>
      </c>
      <c r="Z476" t="n">
        <v>218</v>
      </c>
      <c r="AA476" t="n">
        <v>237</v>
      </c>
      <c r="AB476" t="n">
        <v>2</v>
      </c>
      <c r="AC476" t="n">
        <v>2</v>
      </c>
      <c r="AD476" t="n">
        <v>12</v>
      </c>
      <c r="AE476" t="n">
        <v>12</v>
      </c>
      <c r="AF476" t="n">
        <v>2</v>
      </c>
      <c r="AG476" t="n">
        <v>2</v>
      </c>
      <c r="AH476" t="n">
        <v>4</v>
      </c>
      <c r="AI476" t="n">
        <v>4</v>
      </c>
      <c r="AJ476" t="n">
        <v>8</v>
      </c>
      <c r="AK476" t="n">
        <v>8</v>
      </c>
      <c r="AL476" t="n">
        <v>1</v>
      </c>
      <c r="AM476" t="n">
        <v>1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HYPERLINK("https://creighton-primo.hosted.exlibrisgroup.com/primo-explore/search?tab=default_tab&amp;search_scope=EVERYTHING&amp;vid=01CRU&amp;lang=en_US&amp;offset=0&amp;query=any,contains,991004424419702656","Catalog Record")</f>
        <v/>
      </c>
      <c r="AT476">
        <f>HYPERLINK("http://www.worldcat.org/oclc/50041213","WorldCat Record")</f>
        <v/>
      </c>
      <c r="AU476" t="inlineStr">
        <is>
          <t>802793418:eng</t>
        </is>
      </c>
      <c r="AV476" t="inlineStr">
        <is>
          <t>50041213</t>
        </is>
      </c>
      <c r="AW476" t="inlineStr">
        <is>
          <t>991004424419702656</t>
        </is>
      </c>
      <c r="AX476" t="inlineStr">
        <is>
          <t>991004424419702656</t>
        </is>
      </c>
      <c r="AY476" t="inlineStr">
        <is>
          <t>2259379610002656</t>
        </is>
      </c>
      <c r="AZ476" t="inlineStr">
        <is>
          <t>BOOK</t>
        </is>
      </c>
      <c r="BB476" t="inlineStr">
        <is>
          <t>9780826147516</t>
        </is>
      </c>
      <c r="BC476" t="inlineStr">
        <is>
          <t>32285005023253</t>
        </is>
      </c>
      <c r="BD476" t="inlineStr">
        <is>
          <t>893319207</t>
        </is>
      </c>
    </row>
    <row r="477">
      <c r="A477" t="inlineStr">
        <is>
          <t>No</t>
        </is>
      </c>
      <c r="B477" t="inlineStr">
        <is>
          <t>HV6250.25 .Z53 1977</t>
        </is>
      </c>
      <c r="C477" t="inlineStr">
        <is>
          <t>0                      HV 6250250Z  53          1977</t>
        </is>
      </c>
      <c r="D477" t="inlineStr">
        <is>
          <t>Victims, crime, and social control / Eduard A. Ziegenhagen.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Ziegenhagen, Eduard A., 1935-</t>
        </is>
      </c>
      <c r="L477" t="inlineStr">
        <is>
          <t>New York : Praeger, 1977.</t>
        </is>
      </c>
      <c r="M477" t="inlineStr">
        <is>
          <t>1977</t>
        </is>
      </c>
      <c r="O477" t="inlineStr">
        <is>
          <t>eng</t>
        </is>
      </c>
      <c r="P477" t="inlineStr">
        <is>
          <t>nyu</t>
        </is>
      </c>
      <c r="Q477" t="inlineStr">
        <is>
          <t>Praeger special studies in U.S. economic, social, and political issues</t>
        </is>
      </c>
      <c r="R477" t="inlineStr">
        <is>
          <t xml:space="preserve">HV </t>
        </is>
      </c>
      <c r="S477" t="n">
        <v>5</v>
      </c>
      <c r="T477" t="n">
        <v>5</v>
      </c>
      <c r="U477" t="inlineStr">
        <is>
          <t>2003-02-15</t>
        </is>
      </c>
      <c r="V477" t="inlineStr">
        <is>
          <t>2003-02-15</t>
        </is>
      </c>
      <c r="W477" t="inlineStr">
        <is>
          <t>1994-05-06</t>
        </is>
      </c>
      <c r="X477" t="inlineStr">
        <is>
          <t>1994-05-06</t>
        </is>
      </c>
      <c r="Y477" t="n">
        <v>371</v>
      </c>
      <c r="Z477" t="n">
        <v>302</v>
      </c>
      <c r="AA477" t="n">
        <v>304</v>
      </c>
      <c r="AB477" t="n">
        <v>3</v>
      </c>
      <c r="AC477" t="n">
        <v>3</v>
      </c>
      <c r="AD477" t="n">
        <v>14</v>
      </c>
      <c r="AE477" t="n">
        <v>14</v>
      </c>
      <c r="AF477" t="n">
        <v>4</v>
      </c>
      <c r="AG477" t="n">
        <v>4</v>
      </c>
      <c r="AH477" t="n">
        <v>2</v>
      </c>
      <c r="AI477" t="n">
        <v>2</v>
      </c>
      <c r="AJ477" t="n">
        <v>4</v>
      </c>
      <c r="AK477" t="n">
        <v>4</v>
      </c>
      <c r="AL477" t="n">
        <v>2</v>
      </c>
      <c r="AM477" t="n">
        <v>2</v>
      </c>
      <c r="AN477" t="n">
        <v>5</v>
      </c>
      <c r="AO477" t="n">
        <v>5</v>
      </c>
      <c r="AP477" t="inlineStr">
        <is>
          <t>No</t>
        </is>
      </c>
      <c r="AQ477" t="inlineStr">
        <is>
          <t>No</t>
        </is>
      </c>
      <c r="AS477">
        <f>HYPERLINK("https://creighton-primo.hosted.exlibrisgroup.com/primo-explore/search?tab=default_tab&amp;search_scope=EVERYTHING&amp;vid=01CRU&amp;lang=en_US&amp;offset=0&amp;query=any,contains,991004366329702656","Catalog Record")</f>
        <v/>
      </c>
      <c r="AT477">
        <f>HYPERLINK("http://www.worldcat.org/oclc/3169760","WorldCat Record")</f>
        <v/>
      </c>
      <c r="AU477" t="inlineStr">
        <is>
          <t>8194792:eng</t>
        </is>
      </c>
      <c r="AV477" t="inlineStr">
        <is>
          <t>3169760</t>
        </is>
      </c>
      <c r="AW477" t="inlineStr">
        <is>
          <t>991004366329702656</t>
        </is>
      </c>
      <c r="AX477" t="inlineStr">
        <is>
          <t>991004366329702656</t>
        </is>
      </c>
      <c r="AY477" t="inlineStr">
        <is>
          <t>2263538640002656</t>
        </is>
      </c>
      <c r="AZ477" t="inlineStr">
        <is>
          <t>BOOK</t>
        </is>
      </c>
      <c r="BB477" t="inlineStr">
        <is>
          <t>9780275565602</t>
        </is>
      </c>
      <c r="BC477" t="inlineStr">
        <is>
          <t>32285001907798</t>
        </is>
      </c>
      <c r="BD477" t="inlineStr">
        <is>
          <t>893712506</t>
        </is>
      </c>
    </row>
    <row r="478">
      <c r="A478" t="inlineStr">
        <is>
          <t>No</t>
        </is>
      </c>
      <c r="B478" t="inlineStr">
        <is>
          <t>HV6250.3.E85 N37 1998</t>
        </is>
      </c>
      <c r="C478" t="inlineStr">
        <is>
          <t>0                      HV 6250300E  85                 N  37          1998</t>
        </is>
      </c>
      <c r="D478" t="inlineStr">
        <is>
          <t>Nation and race : the developing Euro-American racist subculture / edited by Jeffrey Kaplan and Tore Bjørgo.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L478" t="inlineStr">
        <is>
          <t>Boston : Northeastern University Press, c1998.</t>
        </is>
      </c>
      <c r="M478" t="inlineStr">
        <is>
          <t>1998</t>
        </is>
      </c>
      <c r="O478" t="inlineStr">
        <is>
          <t>eng</t>
        </is>
      </c>
      <c r="P478" t="inlineStr">
        <is>
          <t>mau</t>
        </is>
      </c>
      <c r="R478" t="inlineStr">
        <is>
          <t xml:space="preserve">HV </t>
        </is>
      </c>
      <c r="S478" t="n">
        <v>5</v>
      </c>
      <c r="T478" t="n">
        <v>5</v>
      </c>
      <c r="U478" t="inlineStr">
        <is>
          <t>2002-10-03</t>
        </is>
      </c>
      <c r="V478" t="inlineStr">
        <is>
          <t>2002-10-03</t>
        </is>
      </c>
      <c r="W478" t="inlineStr">
        <is>
          <t>2000-02-16</t>
        </is>
      </c>
      <c r="X478" t="inlineStr">
        <is>
          <t>2000-02-16</t>
        </is>
      </c>
      <c r="Y478" t="n">
        <v>324</v>
      </c>
      <c r="Z478" t="n">
        <v>278</v>
      </c>
      <c r="AA478" t="n">
        <v>279</v>
      </c>
      <c r="AB478" t="n">
        <v>3</v>
      </c>
      <c r="AC478" t="n">
        <v>3</v>
      </c>
      <c r="AD478" t="n">
        <v>19</v>
      </c>
      <c r="AE478" t="n">
        <v>19</v>
      </c>
      <c r="AF478" t="n">
        <v>7</v>
      </c>
      <c r="AG478" t="n">
        <v>7</v>
      </c>
      <c r="AH478" t="n">
        <v>5</v>
      </c>
      <c r="AI478" t="n">
        <v>5</v>
      </c>
      <c r="AJ478" t="n">
        <v>11</v>
      </c>
      <c r="AK478" t="n">
        <v>11</v>
      </c>
      <c r="AL478" t="n">
        <v>2</v>
      </c>
      <c r="AM478" t="n">
        <v>2</v>
      </c>
      <c r="AN478" t="n">
        <v>1</v>
      </c>
      <c r="AO478" t="n">
        <v>1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HYPERLINK("https://creighton-primo.hosted.exlibrisgroup.com/primo-explore/search?tab=default_tab&amp;search_scope=EVERYTHING&amp;vid=01CRU&amp;lang=en_US&amp;offset=0&amp;query=any,contains,991002845059702656","Catalog Record")</f>
        <v/>
      </c>
      <c r="AT478">
        <f>HYPERLINK("http://www.worldcat.org/oclc/37489626","WorldCat Record")</f>
        <v/>
      </c>
      <c r="AU478" t="inlineStr">
        <is>
          <t>366535669:eng</t>
        </is>
      </c>
      <c r="AV478" t="inlineStr">
        <is>
          <t>37489626</t>
        </is>
      </c>
      <c r="AW478" t="inlineStr">
        <is>
          <t>991002845059702656</t>
        </is>
      </c>
      <c r="AX478" t="inlineStr">
        <is>
          <t>991002845059702656</t>
        </is>
      </c>
      <c r="AY478" t="inlineStr">
        <is>
          <t>2260907000002656</t>
        </is>
      </c>
      <c r="AZ478" t="inlineStr">
        <is>
          <t>BOOK</t>
        </is>
      </c>
      <c r="BB478" t="inlineStr">
        <is>
          <t>9781555533311</t>
        </is>
      </c>
      <c r="BC478" t="inlineStr">
        <is>
          <t>32285003662383</t>
        </is>
      </c>
      <c r="BD478" t="inlineStr">
        <is>
          <t>893524113</t>
        </is>
      </c>
    </row>
    <row r="479">
      <c r="A479" t="inlineStr">
        <is>
          <t>No</t>
        </is>
      </c>
      <c r="B479" t="inlineStr">
        <is>
          <t>HV6250.3.U5 B37</t>
        </is>
      </c>
      <c r="C479" t="inlineStr">
        <is>
          <t>0                      HV 6250300U  5                  B  37</t>
        </is>
      </c>
      <c r="D479" t="inlineStr">
        <is>
          <t>Victims / J. L. Barkas.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Yager, Jan, 1948-</t>
        </is>
      </c>
      <c r="L479" t="inlineStr">
        <is>
          <t>New York : Scribner, c1978.</t>
        </is>
      </c>
      <c r="M479" t="inlineStr">
        <is>
          <t>1978</t>
        </is>
      </c>
      <c r="O479" t="inlineStr">
        <is>
          <t>eng</t>
        </is>
      </c>
      <c r="P479" t="inlineStr">
        <is>
          <t>nyu</t>
        </is>
      </c>
      <c r="R479" t="inlineStr">
        <is>
          <t xml:space="preserve">HV </t>
        </is>
      </c>
      <c r="S479" t="n">
        <v>1</v>
      </c>
      <c r="T479" t="n">
        <v>1</v>
      </c>
      <c r="U479" t="inlineStr">
        <is>
          <t>2003-03-08</t>
        </is>
      </c>
      <c r="V479" t="inlineStr">
        <is>
          <t>2003-03-08</t>
        </is>
      </c>
      <c r="W479" t="inlineStr">
        <is>
          <t>1994-05-06</t>
        </is>
      </c>
      <c r="X479" t="inlineStr">
        <is>
          <t>1994-05-06</t>
        </is>
      </c>
      <c r="Y479" t="n">
        <v>796</v>
      </c>
      <c r="Z479" t="n">
        <v>740</v>
      </c>
      <c r="AA479" t="n">
        <v>746</v>
      </c>
      <c r="AB479" t="n">
        <v>9</v>
      </c>
      <c r="AC479" t="n">
        <v>9</v>
      </c>
      <c r="AD479" t="n">
        <v>27</v>
      </c>
      <c r="AE479" t="n">
        <v>27</v>
      </c>
      <c r="AF479" t="n">
        <v>11</v>
      </c>
      <c r="AG479" t="n">
        <v>11</v>
      </c>
      <c r="AH479" t="n">
        <v>4</v>
      </c>
      <c r="AI479" t="n">
        <v>4</v>
      </c>
      <c r="AJ479" t="n">
        <v>9</v>
      </c>
      <c r="AK479" t="n">
        <v>9</v>
      </c>
      <c r="AL479" t="n">
        <v>2</v>
      </c>
      <c r="AM479" t="n">
        <v>2</v>
      </c>
      <c r="AN479" t="n">
        <v>6</v>
      </c>
      <c r="AO479" t="n">
        <v>6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HYPERLINK("https://creighton-primo.hosted.exlibrisgroup.com/primo-explore/search?tab=default_tab&amp;search_scope=EVERYTHING&amp;vid=01CRU&amp;lang=en_US&amp;offset=0&amp;query=any,contains,991004503769702656","Catalog Record")</f>
        <v/>
      </c>
      <c r="AT479">
        <f>HYPERLINK("http://www.worldcat.org/oclc/3730089","WorldCat Record")</f>
        <v/>
      </c>
      <c r="AU479" t="inlineStr">
        <is>
          <t>201755665:eng</t>
        </is>
      </c>
      <c r="AV479" t="inlineStr">
        <is>
          <t>3730089</t>
        </is>
      </c>
      <c r="AW479" t="inlineStr">
        <is>
          <t>991004503769702656</t>
        </is>
      </c>
      <c r="AX479" t="inlineStr">
        <is>
          <t>991004503769702656</t>
        </is>
      </c>
      <c r="AY479" t="inlineStr">
        <is>
          <t>2268902410002656</t>
        </is>
      </c>
      <c r="AZ479" t="inlineStr">
        <is>
          <t>BOOK</t>
        </is>
      </c>
      <c r="BB479" t="inlineStr">
        <is>
          <t>9780684151915</t>
        </is>
      </c>
      <c r="BC479" t="inlineStr">
        <is>
          <t>32285001907780</t>
        </is>
      </c>
      <c r="BD479" t="inlineStr">
        <is>
          <t>893500658</t>
        </is>
      </c>
    </row>
    <row r="480">
      <c r="A480" t="inlineStr">
        <is>
          <t>No</t>
        </is>
      </c>
      <c r="B480" t="inlineStr">
        <is>
          <t>HV6250.3.U5 C64</t>
        </is>
      </c>
      <c r="C480" t="inlineStr">
        <is>
          <t>0                      HV 6250300U  5                  C  64</t>
        </is>
      </c>
      <c r="D480" t="inlineStr">
        <is>
          <t>Criminal justice and the victim / William F. McDonald, editor.</t>
        </is>
      </c>
      <c r="F480" t="inlineStr">
        <is>
          <t>No</t>
        </is>
      </c>
      <c r="G480" t="inlineStr">
        <is>
          <t>1</t>
        </is>
      </c>
      <c r="H480" t="inlineStr">
        <is>
          <t>Yes</t>
        </is>
      </c>
      <c r="I480" t="inlineStr">
        <is>
          <t>No</t>
        </is>
      </c>
      <c r="J480" t="inlineStr">
        <is>
          <t>0</t>
        </is>
      </c>
      <c r="L480" t="inlineStr">
        <is>
          <t>Beverly Hills, Calif. : Sage Publications, c1976.</t>
        </is>
      </c>
      <c r="M480" t="inlineStr">
        <is>
          <t>1976</t>
        </is>
      </c>
      <c r="O480" t="inlineStr">
        <is>
          <t>eng</t>
        </is>
      </c>
      <c r="P480" t="inlineStr">
        <is>
          <t>cau</t>
        </is>
      </c>
      <c r="Q480" t="inlineStr">
        <is>
          <t>Sage criminal justice system annuals ; v. 6</t>
        </is>
      </c>
      <c r="R480" t="inlineStr">
        <is>
          <t xml:space="preserve">HV </t>
        </is>
      </c>
      <c r="S480" t="n">
        <v>5</v>
      </c>
      <c r="T480" t="n">
        <v>5</v>
      </c>
      <c r="U480" t="inlineStr">
        <is>
          <t>2003-05-21</t>
        </is>
      </c>
      <c r="V480" t="inlineStr">
        <is>
          <t>2003-05-21</t>
        </is>
      </c>
      <c r="W480" t="inlineStr">
        <is>
          <t>1990-10-05</t>
        </is>
      </c>
      <c r="X480" t="inlineStr">
        <is>
          <t>1991-08-15</t>
        </is>
      </c>
      <c r="Y480" t="n">
        <v>599</v>
      </c>
      <c r="Z480" t="n">
        <v>506</v>
      </c>
      <c r="AA480" t="n">
        <v>512</v>
      </c>
      <c r="AB480" t="n">
        <v>4</v>
      </c>
      <c r="AC480" t="n">
        <v>4</v>
      </c>
      <c r="AD480" t="n">
        <v>29</v>
      </c>
      <c r="AE480" t="n">
        <v>29</v>
      </c>
      <c r="AF480" t="n">
        <v>7</v>
      </c>
      <c r="AG480" t="n">
        <v>7</v>
      </c>
      <c r="AH480" t="n">
        <v>7</v>
      </c>
      <c r="AI480" t="n">
        <v>7</v>
      </c>
      <c r="AJ480" t="n">
        <v>11</v>
      </c>
      <c r="AK480" t="n">
        <v>11</v>
      </c>
      <c r="AL480" t="n">
        <v>2</v>
      </c>
      <c r="AM480" t="n">
        <v>2</v>
      </c>
      <c r="AN480" t="n">
        <v>9</v>
      </c>
      <c r="AO480" t="n">
        <v>9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HYPERLINK("http://catalog.hathitrust.org/Record/000269425","HathiTrust Record")</f>
        <v/>
      </c>
      <c r="AS480">
        <f>HYPERLINK("https://creighton-primo.hosted.exlibrisgroup.com/primo-explore/search?tab=default_tab&amp;search_scope=EVERYTHING&amp;vid=01CRU&amp;lang=en_US&amp;offset=0&amp;query=any,contains,991001764519702656","Catalog Record")</f>
        <v/>
      </c>
      <c r="AT480">
        <f>HYPERLINK("http://www.worldcat.org/oclc/2511134","WorldCat Record")</f>
        <v/>
      </c>
      <c r="AU480" t="inlineStr">
        <is>
          <t>5224592:eng</t>
        </is>
      </c>
      <c r="AV480" t="inlineStr">
        <is>
          <t>2511134</t>
        </is>
      </c>
      <c r="AW480" t="inlineStr">
        <is>
          <t>991001764519702656</t>
        </is>
      </c>
      <c r="AX480" t="inlineStr">
        <is>
          <t>991001764519702656</t>
        </is>
      </c>
      <c r="AY480" t="inlineStr">
        <is>
          <t>2267265490002656</t>
        </is>
      </c>
      <c r="AZ480" t="inlineStr">
        <is>
          <t>BOOK</t>
        </is>
      </c>
      <c r="BB480" t="inlineStr">
        <is>
          <t>9780803905085</t>
        </is>
      </c>
      <c r="BC480" t="inlineStr">
        <is>
          <t>32285000332931</t>
        </is>
      </c>
      <c r="BD480" t="inlineStr">
        <is>
          <t>893346758</t>
        </is>
      </c>
    </row>
    <row r="481">
      <c r="A481" t="inlineStr">
        <is>
          <t>No</t>
        </is>
      </c>
      <c r="B481" t="inlineStr">
        <is>
          <t>HV6250.3.U5 E44 1986</t>
        </is>
      </c>
      <c r="C481" t="inlineStr">
        <is>
          <t>0                      HV 6250300U  5                  E  44          1986</t>
        </is>
      </c>
      <c r="D481" t="inlineStr">
        <is>
          <t>The politics of victimization : victims, victimology, and human rights / Robert Elias.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Elias, Robert, 1950-</t>
        </is>
      </c>
      <c r="L481" t="inlineStr">
        <is>
          <t>New York : Oxford University Press, 1986.</t>
        </is>
      </c>
      <c r="M481" t="inlineStr">
        <is>
          <t>1986</t>
        </is>
      </c>
      <c r="O481" t="inlineStr">
        <is>
          <t>eng</t>
        </is>
      </c>
      <c r="P481" t="inlineStr">
        <is>
          <t>nyu</t>
        </is>
      </c>
      <c r="R481" t="inlineStr">
        <is>
          <t xml:space="preserve">HV </t>
        </is>
      </c>
      <c r="S481" t="n">
        <v>3</v>
      </c>
      <c r="T481" t="n">
        <v>3</v>
      </c>
      <c r="U481" t="inlineStr">
        <is>
          <t>2005-04-04</t>
        </is>
      </c>
      <c r="V481" t="inlineStr">
        <is>
          <t>2005-04-04</t>
        </is>
      </c>
      <c r="W481" t="inlineStr">
        <is>
          <t>1995-11-14</t>
        </is>
      </c>
      <c r="X481" t="inlineStr">
        <is>
          <t>1995-11-14</t>
        </is>
      </c>
      <c r="Y481" t="n">
        <v>753</v>
      </c>
      <c r="Z481" t="n">
        <v>642</v>
      </c>
      <c r="AA481" t="n">
        <v>648</v>
      </c>
      <c r="AB481" t="n">
        <v>4</v>
      </c>
      <c r="AC481" t="n">
        <v>4</v>
      </c>
      <c r="AD481" t="n">
        <v>34</v>
      </c>
      <c r="AE481" t="n">
        <v>34</v>
      </c>
      <c r="AF481" t="n">
        <v>8</v>
      </c>
      <c r="AG481" t="n">
        <v>8</v>
      </c>
      <c r="AH481" t="n">
        <v>5</v>
      </c>
      <c r="AI481" t="n">
        <v>5</v>
      </c>
      <c r="AJ481" t="n">
        <v>13</v>
      </c>
      <c r="AK481" t="n">
        <v>13</v>
      </c>
      <c r="AL481" t="n">
        <v>3</v>
      </c>
      <c r="AM481" t="n">
        <v>3</v>
      </c>
      <c r="AN481" t="n">
        <v>9</v>
      </c>
      <c r="AO481" t="n">
        <v>9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HYPERLINK("https://creighton-primo.hosted.exlibrisgroup.com/primo-explore/search?tab=default_tab&amp;search_scope=EVERYTHING&amp;vid=01CRU&amp;lang=en_US&amp;offset=0&amp;query=any,contains,991000718589702656","Catalog Record")</f>
        <v/>
      </c>
      <c r="AT481">
        <f>HYPERLINK("http://www.worldcat.org/oclc/12663840","WorldCat Record")</f>
        <v/>
      </c>
      <c r="AU481" t="inlineStr">
        <is>
          <t>795382422:eng</t>
        </is>
      </c>
      <c r="AV481" t="inlineStr">
        <is>
          <t>12663840</t>
        </is>
      </c>
      <c r="AW481" t="inlineStr">
        <is>
          <t>991000718589702656</t>
        </is>
      </c>
      <c r="AX481" t="inlineStr">
        <is>
          <t>991000718589702656</t>
        </is>
      </c>
      <c r="AY481" t="inlineStr">
        <is>
          <t>2269674160002656</t>
        </is>
      </c>
      <c r="AZ481" t="inlineStr">
        <is>
          <t>BOOK</t>
        </is>
      </c>
      <c r="BB481" t="inlineStr">
        <is>
          <t>9780195039801</t>
        </is>
      </c>
      <c r="BC481" t="inlineStr">
        <is>
          <t>32285002098365</t>
        </is>
      </c>
      <c r="BD481" t="inlineStr">
        <is>
          <t>893515555</t>
        </is>
      </c>
    </row>
    <row r="482">
      <c r="A482" t="inlineStr">
        <is>
          <t>No</t>
        </is>
      </c>
      <c r="B482" t="inlineStr">
        <is>
          <t>HV6250.3.U5 J45 1997</t>
        </is>
      </c>
      <c r="C482" t="inlineStr">
        <is>
          <t>0                      HV 6250300U  5                  J  45          1997</t>
        </is>
      </c>
      <c r="D482" t="inlineStr">
        <is>
          <t>Hate crimes : new social movements and the politics of violence / Valerie Jenness and Kendal Broad.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Jenness, Valerie, 1963-</t>
        </is>
      </c>
      <c r="L482" t="inlineStr">
        <is>
          <t>New York : Aldine de Gruyter, c1997.</t>
        </is>
      </c>
      <c r="M482" t="inlineStr">
        <is>
          <t>1997</t>
        </is>
      </c>
      <c r="O482" t="inlineStr">
        <is>
          <t>eng</t>
        </is>
      </c>
      <c r="P482" t="inlineStr">
        <is>
          <t>nyu</t>
        </is>
      </c>
      <c r="Q482" t="inlineStr">
        <is>
          <t>Social problems and social issues</t>
        </is>
      </c>
      <c r="R482" t="inlineStr">
        <is>
          <t xml:space="preserve">HV </t>
        </is>
      </c>
      <c r="S482" t="n">
        <v>6</v>
      </c>
      <c r="T482" t="n">
        <v>6</v>
      </c>
      <c r="U482" t="inlineStr">
        <is>
          <t>2002-04-07</t>
        </is>
      </c>
      <c r="V482" t="inlineStr">
        <is>
          <t>2002-04-07</t>
        </is>
      </c>
      <c r="W482" t="inlineStr">
        <is>
          <t>1998-12-08</t>
        </is>
      </c>
      <c r="X482" t="inlineStr">
        <is>
          <t>1998-12-08</t>
        </is>
      </c>
      <c r="Y482" t="n">
        <v>752</v>
      </c>
      <c r="Z482" t="n">
        <v>666</v>
      </c>
      <c r="AA482" t="n">
        <v>686</v>
      </c>
      <c r="AB482" t="n">
        <v>8</v>
      </c>
      <c r="AC482" t="n">
        <v>8</v>
      </c>
      <c r="AD482" t="n">
        <v>46</v>
      </c>
      <c r="AE482" t="n">
        <v>46</v>
      </c>
      <c r="AF482" t="n">
        <v>17</v>
      </c>
      <c r="AG482" t="n">
        <v>17</v>
      </c>
      <c r="AH482" t="n">
        <v>9</v>
      </c>
      <c r="AI482" t="n">
        <v>9</v>
      </c>
      <c r="AJ482" t="n">
        <v>16</v>
      </c>
      <c r="AK482" t="n">
        <v>16</v>
      </c>
      <c r="AL482" t="n">
        <v>7</v>
      </c>
      <c r="AM482" t="n">
        <v>7</v>
      </c>
      <c r="AN482" t="n">
        <v>6</v>
      </c>
      <c r="AO482" t="n">
        <v>6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HYPERLINK("https://creighton-primo.hosted.exlibrisgroup.com/primo-explore/search?tab=default_tab&amp;search_scope=EVERYTHING&amp;vid=01CRU&amp;lang=en_US&amp;offset=0&amp;query=any,contains,991002782829702656","Catalog Record")</f>
        <v/>
      </c>
      <c r="AT482">
        <f>HYPERLINK("http://www.worldcat.org/oclc/36543408","WorldCat Record")</f>
        <v/>
      </c>
      <c r="AU482" t="inlineStr">
        <is>
          <t>600553:eng</t>
        </is>
      </c>
      <c r="AV482" t="inlineStr">
        <is>
          <t>36543408</t>
        </is>
      </c>
      <c r="AW482" t="inlineStr">
        <is>
          <t>991002782829702656</t>
        </is>
      </c>
      <c r="AX482" t="inlineStr">
        <is>
          <t>991002782829702656</t>
        </is>
      </c>
      <c r="AY482" t="inlineStr">
        <is>
          <t>2257925620002656</t>
        </is>
      </c>
      <c r="AZ482" t="inlineStr">
        <is>
          <t>BOOK</t>
        </is>
      </c>
      <c r="BB482" t="inlineStr">
        <is>
          <t>9780202306018</t>
        </is>
      </c>
      <c r="BC482" t="inlineStr">
        <is>
          <t>32285003494399</t>
        </is>
      </c>
      <c r="BD482" t="inlineStr">
        <is>
          <t>893335705</t>
        </is>
      </c>
    </row>
    <row r="483">
      <c r="A483" t="inlineStr">
        <is>
          <t>No</t>
        </is>
      </c>
      <c r="B483" t="inlineStr">
        <is>
          <t>HV6250.3.U5 R62 1990</t>
        </is>
      </c>
      <c r="C483" t="inlineStr">
        <is>
          <t>0                      HV 6250300U  5                  R  62          1990</t>
        </is>
      </c>
      <c r="D483" t="inlineStr">
        <is>
          <t>Helping crime victims : research, policy, and practice / Albert R. Roberts ; with contributions by Arlene Bowers Andrews ... [et al.].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Roberts, Albert R.</t>
        </is>
      </c>
      <c r="L483" t="inlineStr">
        <is>
          <t>Newbury Park, Calif. : Sage Publications, c1990.</t>
        </is>
      </c>
      <c r="M483" t="inlineStr">
        <is>
          <t>1990</t>
        </is>
      </c>
      <c r="O483" t="inlineStr">
        <is>
          <t>eng</t>
        </is>
      </c>
      <c r="P483" t="inlineStr">
        <is>
          <t>cau</t>
        </is>
      </c>
      <c r="R483" t="inlineStr">
        <is>
          <t xml:space="preserve">HV </t>
        </is>
      </c>
      <c r="S483" t="n">
        <v>2</v>
      </c>
      <c r="T483" t="n">
        <v>2</v>
      </c>
      <c r="U483" t="inlineStr">
        <is>
          <t>2003-02-15</t>
        </is>
      </c>
      <c r="V483" t="inlineStr">
        <is>
          <t>2003-02-15</t>
        </is>
      </c>
      <c r="W483" t="inlineStr">
        <is>
          <t>1991-08-13</t>
        </is>
      </c>
      <c r="X483" t="inlineStr">
        <is>
          <t>1991-08-13</t>
        </is>
      </c>
      <c r="Y483" t="n">
        <v>473</v>
      </c>
      <c r="Z483" t="n">
        <v>393</v>
      </c>
      <c r="AA483" t="n">
        <v>401</v>
      </c>
      <c r="AB483" t="n">
        <v>4</v>
      </c>
      <c r="AC483" t="n">
        <v>4</v>
      </c>
      <c r="AD483" t="n">
        <v>25</v>
      </c>
      <c r="AE483" t="n">
        <v>25</v>
      </c>
      <c r="AF483" t="n">
        <v>9</v>
      </c>
      <c r="AG483" t="n">
        <v>9</v>
      </c>
      <c r="AH483" t="n">
        <v>5</v>
      </c>
      <c r="AI483" t="n">
        <v>5</v>
      </c>
      <c r="AJ483" t="n">
        <v>13</v>
      </c>
      <c r="AK483" t="n">
        <v>13</v>
      </c>
      <c r="AL483" t="n">
        <v>3</v>
      </c>
      <c r="AM483" t="n">
        <v>3</v>
      </c>
      <c r="AN483" t="n">
        <v>2</v>
      </c>
      <c r="AO483" t="n">
        <v>2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HYPERLINK("http://catalog.hathitrust.org/Record/002063218","HathiTrust Record")</f>
        <v/>
      </c>
      <c r="AS483">
        <f>HYPERLINK("https://creighton-primo.hosted.exlibrisgroup.com/primo-explore/search?tab=default_tab&amp;search_scope=EVERYTHING&amp;vid=01CRU&amp;lang=en_US&amp;offset=0&amp;query=any,contains,991001717069702656","Catalog Record")</f>
        <v/>
      </c>
      <c r="AT483">
        <f>HYPERLINK("http://www.worldcat.org/oclc/21682686","WorldCat Record")</f>
        <v/>
      </c>
      <c r="AU483" t="inlineStr">
        <is>
          <t>23447379:eng</t>
        </is>
      </c>
      <c r="AV483" t="inlineStr">
        <is>
          <t>21682686</t>
        </is>
      </c>
      <c r="AW483" t="inlineStr">
        <is>
          <t>991001717069702656</t>
        </is>
      </c>
      <c r="AX483" t="inlineStr">
        <is>
          <t>991001717069702656</t>
        </is>
      </c>
      <c r="AY483" t="inlineStr">
        <is>
          <t>2270597650002656</t>
        </is>
      </c>
      <c r="AZ483" t="inlineStr">
        <is>
          <t>BOOK</t>
        </is>
      </c>
      <c r="BB483" t="inlineStr">
        <is>
          <t>9780803934696</t>
        </is>
      </c>
      <c r="BC483" t="inlineStr">
        <is>
          <t>32285000700459</t>
        </is>
      </c>
      <c r="BD483" t="inlineStr">
        <is>
          <t>893684563</t>
        </is>
      </c>
    </row>
    <row r="484">
      <c r="A484" t="inlineStr">
        <is>
          <t>No</t>
        </is>
      </c>
      <c r="B484" t="inlineStr">
        <is>
          <t>HV6250.3.U5 W44 1995</t>
        </is>
      </c>
      <c r="C484" t="inlineStr">
        <is>
          <t>0                      HV 6250300U  5                  W  44          1995</t>
        </is>
      </c>
      <c r="D484" t="inlineStr">
        <is>
          <t>Certainty of justice : reform in the crime victim movement / Frank J. Weed.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Weed, Frank, 1942-</t>
        </is>
      </c>
      <c r="L484" t="inlineStr">
        <is>
          <t>New York : Aldine de Gruyter, c1995.</t>
        </is>
      </c>
      <c r="M484" t="inlineStr">
        <is>
          <t>1995</t>
        </is>
      </c>
      <c r="O484" t="inlineStr">
        <is>
          <t>eng</t>
        </is>
      </c>
      <c r="P484" t="inlineStr">
        <is>
          <t>nyu</t>
        </is>
      </c>
      <c r="Q484" t="inlineStr">
        <is>
          <t>Social problems and social issues</t>
        </is>
      </c>
      <c r="R484" t="inlineStr">
        <is>
          <t xml:space="preserve">HV </t>
        </is>
      </c>
      <c r="S484" t="n">
        <v>2</v>
      </c>
      <c r="T484" t="n">
        <v>2</v>
      </c>
      <c r="U484" t="inlineStr">
        <is>
          <t>2003-02-15</t>
        </is>
      </c>
      <c r="V484" t="inlineStr">
        <is>
          <t>2003-02-15</t>
        </is>
      </c>
      <c r="W484" t="inlineStr">
        <is>
          <t>1996-08-28</t>
        </is>
      </c>
      <c r="X484" t="inlineStr">
        <is>
          <t>1996-08-28</t>
        </is>
      </c>
      <c r="Y484" t="n">
        <v>636</v>
      </c>
      <c r="Z484" t="n">
        <v>567</v>
      </c>
      <c r="AA484" t="n">
        <v>571</v>
      </c>
      <c r="AB484" t="n">
        <v>6</v>
      </c>
      <c r="AC484" t="n">
        <v>6</v>
      </c>
      <c r="AD484" t="n">
        <v>42</v>
      </c>
      <c r="AE484" t="n">
        <v>42</v>
      </c>
      <c r="AF484" t="n">
        <v>18</v>
      </c>
      <c r="AG484" t="n">
        <v>18</v>
      </c>
      <c r="AH484" t="n">
        <v>7</v>
      </c>
      <c r="AI484" t="n">
        <v>7</v>
      </c>
      <c r="AJ484" t="n">
        <v>17</v>
      </c>
      <c r="AK484" t="n">
        <v>17</v>
      </c>
      <c r="AL484" t="n">
        <v>5</v>
      </c>
      <c r="AM484" t="n">
        <v>5</v>
      </c>
      <c r="AN484" t="n">
        <v>5</v>
      </c>
      <c r="AO484" t="n">
        <v>5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HYPERLINK("https://creighton-primo.hosted.exlibrisgroup.com/primo-explore/search?tab=default_tab&amp;search_scope=EVERYTHING&amp;vid=01CRU&amp;lang=en_US&amp;offset=0&amp;query=any,contains,991002465799702656","Catalog Record")</f>
        <v/>
      </c>
      <c r="AT484">
        <f>HYPERLINK("http://www.worldcat.org/oclc/32131656","WorldCat Record")</f>
        <v/>
      </c>
      <c r="AU484" t="inlineStr">
        <is>
          <t>34391881:eng</t>
        </is>
      </c>
      <c r="AV484" t="inlineStr">
        <is>
          <t>32131656</t>
        </is>
      </c>
      <c r="AW484" t="inlineStr">
        <is>
          <t>991002465799702656</t>
        </is>
      </c>
      <c r="AX484" t="inlineStr">
        <is>
          <t>991002465799702656</t>
        </is>
      </c>
      <c r="AY484" t="inlineStr">
        <is>
          <t>2260776540002656</t>
        </is>
      </c>
      <c r="AZ484" t="inlineStr">
        <is>
          <t>BOOK</t>
        </is>
      </c>
      <c r="BB484" t="inlineStr">
        <is>
          <t>9780202305172</t>
        </is>
      </c>
      <c r="BC484" t="inlineStr">
        <is>
          <t>32285002292695</t>
        </is>
      </c>
      <c r="BD484" t="inlineStr">
        <is>
          <t>893892579</t>
        </is>
      </c>
    </row>
    <row r="485">
      <c r="A485" t="inlineStr">
        <is>
          <t>No</t>
        </is>
      </c>
      <c r="B485" t="inlineStr">
        <is>
          <t>HV6250.4.C48 D5613 1991</t>
        </is>
      </c>
      <c r="C485" t="inlineStr">
        <is>
          <t>0                      HV 6250400C  48                 D  5613        1991</t>
        </is>
      </c>
      <c r="D485" t="inlineStr">
        <is>
          <t>Brazil, war on children / Gilberto Dimenstein ; introduction by Jan Rocha ; [translated by Chris Whitehouse ; edited by Duncan Green].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Dimenstein, Gilberto.</t>
        </is>
      </c>
      <c r="L485" t="inlineStr">
        <is>
          <t>London : Latin America Bureau ; New York, NY : Distribution in North America by Monthly Review Press, 1991.</t>
        </is>
      </c>
      <c r="M485" t="inlineStr">
        <is>
          <t>1991</t>
        </is>
      </c>
      <c r="O485" t="inlineStr">
        <is>
          <t>eng</t>
        </is>
      </c>
      <c r="P485" t="inlineStr">
        <is>
          <t>enk</t>
        </is>
      </c>
      <c r="R485" t="inlineStr">
        <is>
          <t xml:space="preserve">HV </t>
        </is>
      </c>
      <c r="S485" t="n">
        <v>12</v>
      </c>
      <c r="T485" t="n">
        <v>12</v>
      </c>
      <c r="U485" t="inlineStr">
        <is>
          <t>2006-12-01</t>
        </is>
      </c>
      <c r="V485" t="inlineStr">
        <is>
          <t>2006-12-01</t>
        </is>
      </c>
      <c r="W485" t="inlineStr">
        <is>
          <t>1995-04-24</t>
        </is>
      </c>
      <c r="X485" t="inlineStr">
        <is>
          <t>1995-04-24</t>
        </is>
      </c>
      <c r="Y485" t="n">
        <v>281</v>
      </c>
      <c r="Z485" t="n">
        <v>198</v>
      </c>
      <c r="AA485" t="n">
        <v>241</v>
      </c>
      <c r="AB485" t="n">
        <v>2</v>
      </c>
      <c r="AC485" t="n">
        <v>2</v>
      </c>
      <c r="AD485" t="n">
        <v>13</v>
      </c>
      <c r="AE485" t="n">
        <v>18</v>
      </c>
      <c r="AF485" t="n">
        <v>3</v>
      </c>
      <c r="AG485" t="n">
        <v>7</v>
      </c>
      <c r="AH485" t="n">
        <v>3</v>
      </c>
      <c r="AI485" t="n">
        <v>4</v>
      </c>
      <c r="AJ485" t="n">
        <v>8</v>
      </c>
      <c r="AK485" t="n">
        <v>9</v>
      </c>
      <c r="AL485" t="n">
        <v>1</v>
      </c>
      <c r="AM485" t="n">
        <v>1</v>
      </c>
      <c r="AN485" t="n">
        <v>1</v>
      </c>
      <c r="AO485" t="n">
        <v>1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HYPERLINK("https://creighton-primo.hosted.exlibrisgroup.com/primo-explore/search?tab=default_tab&amp;search_scope=EVERYTHING&amp;vid=01CRU&amp;lang=en_US&amp;offset=0&amp;query=any,contains,991002098269702656","Catalog Record")</f>
        <v/>
      </c>
      <c r="AT485">
        <f>HYPERLINK("http://www.worldcat.org/oclc/26929542","WorldCat Record")</f>
        <v/>
      </c>
      <c r="AU485" t="inlineStr">
        <is>
          <t>2542240529:eng</t>
        </is>
      </c>
      <c r="AV485" t="inlineStr">
        <is>
          <t>26929542</t>
        </is>
      </c>
      <c r="AW485" t="inlineStr">
        <is>
          <t>991002098269702656</t>
        </is>
      </c>
      <c r="AX485" t="inlineStr">
        <is>
          <t>991002098269702656</t>
        </is>
      </c>
      <c r="AY485" t="inlineStr">
        <is>
          <t>2256826070002656</t>
        </is>
      </c>
      <c r="AZ485" t="inlineStr">
        <is>
          <t>BOOK</t>
        </is>
      </c>
      <c r="BB485" t="inlineStr">
        <is>
          <t>9780906156629</t>
        </is>
      </c>
      <c r="BC485" t="inlineStr">
        <is>
          <t>32285002035433</t>
        </is>
      </c>
      <c r="BD485" t="inlineStr">
        <is>
          <t>893709865</t>
        </is>
      </c>
    </row>
    <row r="486">
      <c r="A486" t="inlineStr">
        <is>
          <t>No</t>
        </is>
      </c>
      <c r="B486" t="inlineStr">
        <is>
          <t>HV6250.4.C48 M67 1992</t>
        </is>
      </c>
      <c r="C486" t="inlineStr">
        <is>
          <t>0                      HV 6250400C  48                 M  67          1992</t>
        </is>
      </c>
      <c r="D486" t="inlineStr">
        <is>
          <t>Child victims : crime, impact, and criminal justice / Jane Morgan and Lucia Zedner.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Morgan, Jane.</t>
        </is>
      </c>
      <c r="L486" t="inlineStr">
        <is>
          <t>Oxford : Clarendon Press ; New York : Oxford University Press, 1992.</t>
        </is>
      </c>
      <c r="M486" t="inlineStr">
        <is>
          <t>1992</t>
        </is>
      </c>
      <c r="O486" t="inlineStr">
        <is>
          <t>eng</t>
        </is>
      </c>
      <c r="P486" t="inlineStr">
        <is>
          <t>enk</t>
        </is>
      </c>
      <c r="R486" t="inlineStr">
        <is>
          <t xml:space="preserve">HV </t>
        </is>
      </c>
      <c r="S486" t="n">
        <v>5</v>
      </c>
      <c r="T486" t="n">
        <v>5</v>
      </c>
      <c r="U486" t="inlineStr">
        <is>
          <t>2009-09-27</t>
        </is>
      </c>
      <c r="V486" t="inlineStr">
        <is>
          <t>2009-09-27</t>
        </is>
      </c>
      <c r="W486" t="inlineStr">
        <is>
          <t>1992-09-28</t>
        </is>
      </c>
      <c r="X486" t="inlineStr">
        <is>
          <t>1992-09-28</t>
        </is>
      </c>
      <c r="Y486" t="n">
        <v>380</v>
      </c>
      <c r="Z486" t="n">
        <v>223</v>
      </c>
      <c r="AA486" t="n">
        <v>228</v>
      </c>
      <c r="AB486" t="n">
        <v>2</v>
      </c>
      <c r="AC486" t="n">
        <v>2</v>
      </c>
      <c r="AD486" t="n">
        <v>19</v>
      </c>
      <c r="AE486" t="n">
        <v>19</v>
      </c>
      <c r="AF486" t="n">
        <v>5</v>
      </c>
      <c r="AG486" t="n">
        <v>5</v>
      </c>
      <c r="AH486" t="n">
        <v>2</v>
      </c>
      <c r="AI486" t="n">
        <v>2</v>
      </c>
      <c r="AJ486" t="n">
        <v>8</v>
      </c>
      <c r="AK486" t="n">
        <v>8</v>
      </c>
      <c r="AL486" t="n">
        <v>1</v>
      </c>
      <c r="AM486" t="n">
        <v>1</v>
      </c>
      <c r="AN486" t="n">
        <v>7</v>
      </c>
      <c r="AO486" t="n">
        <v>7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HYPERLINK("https://creighton-primo.hosted.exlibrisgroup.com/primo-explore/search?tab=default_tab&amp;search_scope=EVERYTHING&amp;vid=01CRU&amp;lang=en_US&amp;offset=0&amp;query=any,contains,991001933999702656","Catalog Record")</f>
        <v/>
      </c>
      <c r="AT486">
        <f>HYPERLINK("http://www.worldcat.org/oclc/24429937","WorldCat Record")</f>
        <v/>
      </c>
      <c r="AU486" t="inlineStr">
        <is>
          <t>793879828:eng</t>
        </is>
      </c>
      <c r="AV486" t="inlineStr">
        <is>
          <t>24429937</t>
        </is>
      </c>
      <c r="AW486" t="inlineStr">
        <is>
          <t>991001933999702656</t>
        </is>
      </c>
      <c r="AX486" t="inlineStr">
        <is>
          <t>991001933999702656</t>
        </is>
      </c>
      <c r="AY486" t="inlineStr">
        <is>
          <t>2258460350002656</t>
        </is>
      </c>
      <c r="AZ486" t="inlineStr">
        <is>
          <t>BOOK</t>
        </is>
      </c>
      <c r="BB486" t="inlineStr">
        <is>
          <t>9780198256991</t>
        </is>
      </c>
      <c r="BC486" t="inlineStr">
        <is>
          <t>32285001289312</t>
        </is>
      </c>
      <c r="BD486" t="inlineStr">
        <is>
          <t>893791857</t>
        </is>
      </c>
    </row>
    <row r="487">
      <c r="A487" t="inlineStr">
        <is>
          <t>No</t>
        </is>
      </c>
      <c r="B487" t="inlineStr">
        <is>
          <t>HV6250.4.H66 S54 2009</t>
        </is>
      </c>
      <c r="C487" t="inlineStr">
        <is>
          <t>0                      HV 6250400H  66                 S  54          2009</t>
        </is>
      </c>
      <c r="D487" t="inlineStr">
        <is>
          <t>The meaning of Matthew : my son's murder in Laramie, and a world transformed / Judy Shepard with Jon Barrett.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Shepard, Judy.</t>
        </is>
      </c>
      <c r="L487" t="inlineStr">
        <is>
          <t>New York, N.Y. : Hudson Street Press, c2009.</t>
        </is>
      </c>
      <c r="M487" t="inlineStr">
        <is>
          <t>2009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HV </t>
        </is>
      </c>
      <c r="S487" t="n">
        <v>3</v>
      </c>
      <c r="T487" t="n">
        <v>3</v>
      </c>
      <c r="U487" t="inlineStr">
        <is>
          <t>2010-02-11</t>
        </is>
      </c>
      <c r="V487" t="inlineStr">
        <is>
          <t>2010-02-11</t>
        </is>
      </c>
      <c r="W487" t="inlineStr">
        <is>
          <t>2009-09-16</t>
        </is>
      </c>
      <c r="X487" t="inlineStr">
        <is>
          <t>2009-09-16</t>
        </is>
      </c>
      <c r="Y487" t="n">
        <v>919</v>
      </c>
      <c r="Z487" t="n">
        <v>878</v>
      </c>
      <c r="AA487" t="n">
        <v>1015</v>
      </c>
      <c r="AB487" t="n">
        <v>15</v>
      </c>
      <c r="AC487" t="n">
        <v>16</v>
      </c>
      <c r="AD487" t="n">
        <v>12</v>
      </c>
      <c r="AE487" t="n">
        <v>14</v>
      </c>
      <c r="AF487" t="n">
        <v>4</v>
      </c>
      <c r="AG487" t="n">
        <v>5</v>
      </c>
      <c r="AH487" t="n">
        <v>2</v>
      </c>
      <c r="AI487" t="n">
        <v>2</v>
      </c>
      <c r="AJ487" t="n">
        <v>4</v>
      </c>
      <c r="AK487" t="n">
        <v>5</v>
      </c>
      <c r="AL487" t="n">
        <v>4</v>
      </c>
      <c r="AM487" t="n">
        <v>4</v>
      </c>
      <c r="AN487" t="n">
        <v>1</v>
      </c>
      <c r="AO487" t="n">
        <v>1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HYPERLINK("https://creighton-primo.hosted.exlibrisgroup.com/primo-explore/search?tab=default_tab&amp;search_scope=EVERYTHING&amp;vid=01CRU&amp;lang=en_US&amp;offset=0&amp;query=any,contains,991005334409702656","Catalog Record")</f>
        <v/>
      </c>
      <c r="AT487">
        <f>HYPERLINK("http://www.worldcat.org/oclc/268795387","WorldCat Record")</f>
        <v/>
      </c>
      <c r="AU487" t="inlineStr">
        <is>
          <t>255599827:eng</t>
        </is>
      </c>
      <c r="AV487" t="inlineStr">
        <is>
          <t>268795387</t>
        </is>
      </c>
      <c r="AW487" t="inlineStr">
        <is>
          <t>991005334409702656</t>
        </is>
      </c>
      <c r="AX487" t="inlineStr">
        <is>
          <t>991005334409702656</t>
        </is>
      </c>
      <c r="AY487" t="inlineStr">
        <is>
          <t>2268831980002656</t>
        </is>
      </c>
      <c r="AZ487" t="inlineStr">
        <is>
          <t>BOOK</t>
        </is>
      </c>
      <c r="BB487" t="inlineStr">
        <is>
          <t>9781594630576</t>
        </is>
      </c>
      <c r="BC487" t="inlineStr">
        <is>
          <t>32285005544464</t>
        </is>
      </c>
      <c r="BD487" t="inlineStr">
        <is>
          <t>893320458</t>
        </is>
      </c>
    </row>
    <row r="488">
      <c r="A488" t="inlineStr">
        <is>
          <t>No</t>
        </is>
      </c>
      <c r="B488" t="inlineStr">
        <is>
          <t>HV6250.4.H66 V56 1998</t>
        </is>
      </c>
      <c r="C488" t="inlineStr">
        <is>
          <t>0                      HV 6250400H  66                 V  56          1998</t>
        </is>
      </c>
      <c r="D488" t="inlineStr">
        <is>
          <t>Violence and social injustice against lesbian, gay and bisexual people / Lacey M. Sloan, Nora S. Gustavsson, editors.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L488" t="inlineStr">
        <is>
          <t>New York : Haworth Press, c1998.</t>
        </is>
      </c>
      <c r="M488" t="inlineStr">
        <is>
          <t>1998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HV </t>
        </is>
      </c>
      <c r="S488" t="n">
        <v>4</v>
      </c>
      <c r="T488" t="n">
        <v>4</v>
      </c>
      <c r="U488" t="inlineStr">
        <is>
          <t>2007-03-12</t>
        </is>
      </c>
      <c r="V488" t="inlineStr">
        <is>
          <t>2007-03-12</t>
        </is>
      </c>
      <c r="W488" t="inlineStr">
        <is>
          <t>2001-04-19</t>
        </is>
      </c>
      <c r="X488" t="inlineStr">
        <is>
          <t>2001-04-19</t>
        </is>
      </c>
      <c r="Y488" t="n">
        <v>226</v>
      </c>
      <c r="Z488" t="n">
        <v>189</v>
      </c>
      <c r="AA488" t="n">
        <v>240</v>
      </c>
      <c r="AB488" t="n">
        <v>2</v>
      </c>
      <c r="AC488" t="n">
        <v>2</v>
      </c>
      <c r="AD488" t="n">
        <v>11</v>
      </c>
      <c r="AE488" t="n">
        <v>12</v>
      </c>
      <c r="AF488" t="n">
        <v>3</v>
      </c>
      <c r="AG488" t="n">
        <v>4</v>
      </c>
      <c r="AH488" t="n">
        <v>3</v>
      </c>
      <c r="AI488" t="n">
        <v>3</v>
      </c>
      <c r="AJ488" t="n">
        <v>6</v>
      </c>
      <c r="AK488" t="n">
        <v>6</v>
      </c>
      <c r="AL488" t="n">
        <v>1</v>
      </c>
      <c r="AM488" t="n">
        <v>1</v>
      </c>
      <c r="AN488" t="n">
        <v>1</v>
      </c>
      <c r="AO488" t="n">
        <v>1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HYPERLINK("https://creighton-primo.hosted.exlibrisgroup.com/primo-explore/search?tab=default_tab&amp;search_scope=EVERYTHING&amp;vid=01CRU&amp;lang=en_US&amp;offset=0&amp;query=any,contains,991003453449702656","Catalog Record")</f>
        <v/>
      </c>
      <c r="AT488">
        <f>HYPERLINK("http://www.worldcat.org/oclc/39627641","WorldCat Record")</f>
        <v/>
      </c>
      <c r="AU488" t="inlineStr">
        <is>
          <t>349989047:eng</t>
        </is>
      </c>
      <c r="AV488" t="inlineStr">
        <is>
          <t>39627641</t>
        </is>
      </c>
      <c r="AW488" t="inlineStr">
        <is>
          <t>991003453449702656</t>
        </is>
      </c>
      <c r="AX488" t="inlineStr">
        <is>
          <t>991003453449702656</t>
        </is>
      </c>
      <c r="AY488" t="inlineStr">
        <is>
          <t>2263118850002656</t>
        </is>
      </c>
      <c r="AZ488" t="inlineStr">
        <is>
          <t>BOOK</t>
        </is>
      </c>
      <c r="BB488" t="inlineStr">
        <is>
          <t>9780789006509</t>
        </is>
      </c>
      <c r="BC488" t="inlineStr">
        <is>
          <t>32285004313572</t>
        </is>
      </c>
      <c r="BD488" t="inlineStr">
        <is>
          <t>893348694</t>
        </is>
      </c>
    </row>
    <row r="489">
      <c r="A489" t="inlineStr">
        <is>
          <t>No</t>
        </is>
      </c>
      <c r="B489" t="inlineStr">
        <is>
          <t>HV6250.4.W65 B78 2010</t>
        </is>
      </c>
      <c r="C489" t="inlineStr">
        <is>
          <t>0                      HV 6250400W  65                 B  78          2010</t>
        </is>
      </c>
      <c r="D489" t="inlineStr">
        <is>
          <t>Pour en finir avec les violences faites aux femmes / Chantal Brunel.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Brunel, Chantal.</t>
        </is>
      </c>
      <c r="L489" t="inlineStr">
        <is>
          <t>Paris : Cherche midi, c2010.</t>
        </is>
      </c>
      <c r="M489" t="inlineStr">
        <is>
          <t>2010</t>
        </is>
      </c>
      <c r="O489" t="inlineStr">
        <is>
          <t>fre</t>
        </is>
      </c>
      <c r="P489" t="inlineStr">
        <is>
          <t xml:space="preserve">fr </t>
        </is>
      </c>
      <c r="Q489" t="inlineStr">
        <is>
          <t>Documents</t>
        </is>
      </c>
      <c r="R489" t="inlineStr">
        <is>
          <t xml:space="preserve">HV </t>
        </is>
      </c>
      <c r="S489" t="n">
        <v>1</v>
      </c>
      <c r="T489" t="n">
        <v>1</v>
      </c>
      <c r="U489" t="inlineStr">
        <is>
          <t>2010-06-14</t>
        </is>
      </c>
      <c r="V489" t="inlineStr">
        <is>
          <t>2010-06-14</t>
        </is>
      </c>
      <c r="W489" t="inlineStr">
        <is>
          <t>2010-06-14</t>
        </is>
      </c>
      <c r="X489" t="inlineStr">
        <is>
          <t>2010-06-14</t>
        </is>
      </c>
      <c r="Y489" t="n">
        <v>12</v>
      </c>
      <c r="Z489" t="n">
        <v>7</v>
      </c>
      <c r="AA489" t="n">
        <v>9</v>
      </c>
      <c r="AB489" t="n">
        <v>1</v>
      </c>
      <c r="AC489" t="n">
        <v>1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HYPERLINK("https://creighton-primo.hosted.exlibrisgroup.com/primo-explore/search?tab=default_tab&amp;search_scope=EVERYTHING&amp;vid=01CRU&amp;lang=en_US&amp;offset=0&amp;query=any,contains,991005392889702656","Catalog Record")</f>
        <v/>
      </c>
      <c r="AT489">
        <f>HYPERLINK("http://www.worldcat.org/oclc/515403125","WorldCat Record")</f>
        <v/>
      </c>
      <c r="AU489" t="inlineStr">
        <is>
          <t>387697916:fre</t>
        </is>
      </c>
      <c r="AV489" t="inlineStr">
        <is>
          <t>515403125</t>
        </is>
      </c>
      <c r="AW489" t="inlineStr">
        <is>
          <t>991005392889702656</t>
        </is>
      </c>
      <c r="AX489" t="inlineStr">
        <is>
          <t>991005392889702656</t>
        </is>
      </c>
      <c r="AY489" t="inlineStr">
        <is>
          <t>2271939340002656</t>
        </is>
      </c>
      <c r="AZ489" t="inlineStr">
        <is>
          <t>BOOK</t>
        </is>
      </c>
      <c r="BB489" t="inlineStr">
        <is>
          <t>9782749115412</t>
        </is>
      </c>
      <c r="BC489" t="inlineStr">
        <is>
          <t>32285005588198</t>
        </is>
      </c>
      <c r="BD489" t="inlineStr">
        <is>
          <t>893783602</t>
        </is>
      </c>
    </row>
    <row r="490">
      <c r="A490" t="inlineStr">
        <is>
          <t>No</t>
        </is>
      </c>
      <c r="B490" t="inlineStr">
        <is>
          <t>HV6250.4.W65 C627 2006</t>
        </is>
      </c>
      <c r="C490" t="inlineStr">
        <is>
          <t>0                      HV 6250400W  65                 C  627         2006</t>
        </is>
      </c>
      <c r="D490" t="inlineStr">
        <is>
          <t>Color of violence : the Incite! anthology / Incite! Women of Color Against Violence.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L490" t="inlineStr">
        <is>
          <t>Cambridge, Mass. : South End Press, c2006.</t>
        </is>
      </c>
      <c r="M490" t="inlineStr">
        <is>
          <t>2006</t>
        </is>
      </c>
      <c r="O490" t="inlineStr">
        <is>
          <t>eng</t>
        </is>
      </c>
      <c r="P490" t="inlineStr">
        <is>
          <t>mau</t>
        </is>
      </c>
      <c r="R490" t="inlineStr">
        <is>
          <t xml:space="preserve">HV </t>
        </is>
      </c>
      <c r="S490" t="n">
        <v>2</v>
      </c>
      <c r="T490" t="n">
        <v>2</v>
      </c>
      <c r="U490" t="inlineStr">
        <is>
          <t>2008-02-13</t>
        </is>
      </c>
      <c r="V490" t="inlineStr">
        <is>
          <t>2008-02-13</t>
        </is>
      </c>
      <c r="W490" t="inlineStr">
        <is>
          <t>2008-02-13</t>
        </is>
      </c>
      <c r="X490" t="inlineStr">
        <is>
          <t>2008-02-13</t>
        </is>
      </c>
      <c r="Y490" t="n">
        <v>580</v>
      </c>
      <c r="Z490" t="n">
        <v>519</v>
      </c>
      <c r="AA490" t="n">
        <v>672</v>
      </c>
      <c r="AB490" t="n">
        <v>3</v>
      </c>
      <c r="AC490" t="n">
        <v>5</v>
      </c>
      <c r="AD490" t="n">
        <v>23</v>
      </c>
      <c r="AE490" t="n">
        <v>31</v>
      </c>
      <c r="AF490" t="n">
        <v>10</v>
      </c>
      <c r="AG490" t="n">
        <v>12</v>
      </c>
      <c r="AH490" t="n">
        <v>6</v>
      </c>
      <c r="AI490" t="n">
        <v>9</v>
      </c>
      <c r="AJ490" t="n">
        <v>12</v>
      </c>
      <c r="AK490" t="n">
        <v>17</v>
      </c>
      <c r="AL490" t="n">
        <v>2</v>
      </c>
      <c r="AM490" t="n">
        <v>3</v>
      </c>
      <c r="AN490" t="n">
        <v>1</v>
      </c>
      <c r="AO490" t="n">
        <v>1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HYPERLINK("https://creighton-primo.hosted.exlibrisgroup.com/primo-explore/search?tab=default_tab&amp;search_scope=EVERYTHING&amp;vid=01CRU&amp;lang=en_US&amp;offset=0&amp;query=any,contains,991005173029702656","Catalog Record")</f>
        <v/>
      </c>
      <c r="AT490">
        <f>HYPERLINK("http://www.worldcat.org/oclc/70707902","WorldCat Record")</f>
        <v/>
      </c>
      <c r="AU490" t="inlineStr">
        <is>
          <t>799051134:eng</t>
        </is>
      </c>
      <c r="AV490" t="inlineStr">
        <is>
          <t>70707902</t>
        </is>
      </c>
      <c r="AW490" t="inlineStr">
        <is>
          <t>991005173029702656</t>
        </is>
      </c>
      <c r="AX490" t="inlineStr">
        <is>
          <t>991005173029702656</t>
        </is>
      </c>
      <c r="AY490" t="inlineStr">
        <is>
          <t>2271841330002656</t>
        </is>
      </c>
      <c r="AZ490" t="inlineStr">
        <is>
          <t>BOOK</t>
        </is>
      </c>
      <c r="BB490" t="inlineStr">
        <is>
          <t>9780896087620</t>
        </is>
      </c>
      <c r="BC490" t="inlineStr">
        <is>
          <t>32285005392997</t>
        </is>
      </c>
      <c r="BD490" t="inlineStr">
        <is>
          <t>893694862</t>
        </is>
      </c>
    </row>
    <row r="491">
      <c r="A491" t="inlineStr">
        <is>
          <t>No</t>
        </is>
      </c>
      <c r="B491" t="inlineStr">
        <is>
          <t>HV6250.4.W65 F55 1994</t>
        </is>
      </c>
      <c r="C491" t="inlineStr">
        <is>
          <t>0                      HV 6250400W  65                 F  55          1994</t>
        </is>
      </c>
      <c r="D491" t="inlineStr">
        <is>
          <t>The victimization and exploitation of women and children : a study of physical, mental, and sexual maltreatment in the United States / by R. Barri Flowers.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Flowers, R. Barri (Ronald Barri)</t>
        </is>
      </c>
      <c r="L491" t="inlineStr">
        <is>
          <t>Jefferson, N.C. : McFarland &amp; Co., c1994.</t>
        </is>
      </c>
      <c r="M491" t="inlineStr">
        <is>
          <t>1994</t>
        </is>
      </c>
      <c r="O491" t="inlineStr">
        <is>
          <t>eng</t>
        </is>
      </c>
      <c r="P491" t="inlineStr">
        <is>
          <t>ncu</t>
        </is>
      </c>
      <c r="R491" t="inlineStr">
        <is>
          <t xml:space="preserve">HV </t>
        </is>
      </c>
      <c r="S491" t="n">
        <v>25</v>
      </c>
      <c r="T491" t="n">
        <v>25</v>
      </c>
      <c r="U491" t="inlineStr">
        <is>
          <t>2005-04-03</t>
        </is>
      </c>
      <c r="V491" t="inlineStr">
        <is>
          <t>2005-04-03</t>
        </is>
      </c>
      <c r="W491" t="inlineStr">
        <is>
          <t>1995-05-10</t>
        </is>
      </c>
      <c r="X491" t="inlineStr">
        <is>
          <t>1995-05-10</t>
        </is>
      </c>
      <c r="Y491" t="n">
        <v>576</v>
      </c>
      <c r="Z491" t="n">
        <v>530</v>
      </c>
      <c r="AA491" t="n">
        <v>537</v>
      </c>
      <c r="AB491" t="n">
        <v>5</v>
      </c>
      <c r="AC491" t="n">
        <v>5</v>
      </c>
      <c r="AD491" t="n">
        <v>31</v>
      </c>
      <c r="AE491" t="n">
        <v>31</v>
      </c>
      <c r="AF491" t="n">
        <v>11</v>
      </c>
      <c r="AG491" t="n">
        <v>11</v>
      </c>
      <c r="AH491" t="n">
        <v>7</v>
      </c>
      <c r="AI491" t="n">
        <v>7</v>
      </c>
      <c r="AJ491" t="n">
        <v>12</v>
      </c>
      <c r="AK491" t="n">
        <v>12</v>
      </c>
      <c r="AL491" t="n">
        <v>4</v>
      </c>
      <c r="AM491" t="n">
        <v>4</v>
      </c>
      <c r="AN491" t="n">
        <v>4</v>
      </c>
      <c r="AO491" t="n">
        <v>4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HYPERLINK("http://catalog.hathitrust.org/Record/002902194","HathiTrust Record")</f>
        <v/>
      </c>
      <c r="AS491">
        <f>HYPERLINK("https://creighton-primo.hosted.exlibrisgroup.com/primo-explore/search?tab=default_tab&amp;search_scope=EVERYTHING&amp;vid=01CRU&amp;lang=en_US&amp;offset=0&amp;query=any,contains,991002336699702656","Catalog Record")</f>
        <v/>
      </c>
      <c r="AT491">
        <f>HYPERLINK("http://www.worldcat.org/oclc/30400871","WorldCat Record")</f>
        <v/>
      </c>
      <c r="AU491" t="inlineStr">
        <is>
          <t>476594654:eng</t>
        </is>
      </c>
      <c r="AV491" t="inlineStr">
        <is>
          <t>30400871</t>
        </is>
      </c>
      <c r="AW491" t="inlineStr">
        <is>
          <t>991002336699702656</t>
        </is>
      </c>
      <c r="AX491" t="inlineStr">
        <is>
          <t>991002336699702656</t>
        </is>
      </c>
      <c r="AY491" t="inlineStr">
        <is>
          <t>2266053670002656</t>
        </is>
      </c>
      <c r="AZ491" t="inlineStr">
        <is>
          <t>BOOK</t>
        </is>
      </c>
      <c r="BB491" t="inlineStr">
        <is>
          <t>9780899509785</t>
        </is>
      </c>
      <c r="BC491" t="inlineStr">
        <is>
          <t>32285002038825</t>
        </is>
      </c>
      <c r="BD491" t="inlineStr">
        <is>
          <t>893316700</t>
        </is>
      </c>
    </row>
    <row r="492">
      <c r="A492" t="inlineStr">
        <is>
          <t>No</t>
        </is>
      </c>
      <c r="B492" t="inlineStr">
        <is>
          <t>HV6250.4.W65 I57 1976</t>
        </is>
      </c>
      <c r="C492" t="inlineStr">
        <is>
          <t>0                      HV 6250400W  65                 I  57          1976</t>
        </is>
      </c>
      <c r="D492" t="inlineStr">
        <is>
          <t>Crimes against women : proceedings of the international tribunal / compiled and edited by Diana E. H. Russell, Nicole Van de Ven.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International Tribunal on Crimes against Women (1976 : Brussels, Belgium)</t>
        </is>
      </c>
      <c r="L492" t="inlineStr">
        <is>
          <t>Millbrae, Calif. : Les Femmes Pub., c1976.</t>
        </is>
      </c>
      <c r="M492" t="inlineStr">
        <is>
          <t>1976</t>
        </is>
      </c>
      <c r="O492" t="inlineStr">
        <is>
          <t>eng</t>
        </is>
      </c>
      <c r="P492" t="inlineStr">
        <is>
          <t>cau</t>
        </is>
      </c>
      <c r="R492" t="inlineStr">
        <is>
          <t xml:space="preserve">HV </t>
        </is>
      </c>
      <c r="S492" t="n">
        <v>11</v>
      </c>
      <c r="T492" t="n">
        <v>11</v>
      </c>
      <c r="U492" t="inlineStr">
        <is>
          <t>2004-08-27</t>
        </is>
      </c>
      <c r="V492" t="inlineStr">
        <is>
          <t>2004-08-27</t>
        </is>
      </c>
      <c r="W492" t="inlineStr">
        <is>
          <t>1992-11-04</t>
        </is>
      </c>
      <c r="X492" t="inlineStr">
        <is>
          <t>1992-11-04</t>
        </is>
      </c>
      <c r="Y492" t="n">
        <v>630</v>
      </c>
      <c r="Z492" t="n">
        <v>543</v>
      </c>
      <c r="AA492" t="n">
        <v>606</v>
      </c>
      <c r="AB492" t="n">
        <v>4</v>
      </c>
      <c r="AC492" t="n">
        <v>5</v>
      </c>
      <c r="AD492" t="n">
        <v>19</v>
      </c>
      <c r="AE492" t="n">
        <v>28</v>
      </c>
      <c r="AF492" t="n">
        <v>3</v>
      </c>
      <c r="AG492" t="n">
        <v>5</v>
      </c>
      <c r="AH492" t="n">
        <v>4</v>
      </c>
      <c r="AI492" t="n">
        <v>6</v>
      </c>
      <c r="AJ492" t="n">
        <v>5</v>
      </c>
      <c r="AK492" t="n">
        <v>8</v>
      </c>
      <c r="AL492" t="n">
        <v>2</v>
      </c>
      <c r="AM492" t="n">
        <v>3</v>
      </c>
      <c r="AN492" t="n">
        <v>8</v>
      </c>
      <c r="AO492" t="n">
        <v>10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HYPERLINK("https://creighton-primo.hosted.exlibrisgroup.com/primo-explore/search?tab=default_tab&amp;search_scope=EVERYTHING&amp;vid=01CRU&amp;lang=en_US&amp;offset=0&amp;query=any,contains,991004129809702656","Catalog Record")</f>
        <v/>
      </c>
      <c r="AT492">
        <f>HYPERLINK("http://www.worldcat.org/oclc/2464570","WorldCat Record")</f>
        <v/>
      </c>
      <c r="AU492" t="inlineStr">
        <is>
          <t>2904414:eng</t>
        </is>
      </c>
      <c r="AV492" t="inlineStr">
        <is>
          <t>2464570</t>
        </is>
      </c>
      <c r="AW492" t="inlineStr">
        <is>
          <t>991004129809702656</t>
        </is>
      </c>
      <c r="AX492" t="inlineStr">
        <is>
          <t>991004129809702656</t>
        </is>
      </c>
      <c r="AY492" t="inlineStr">
        <is>
          <t>2269021790002656</t>
        </is>
      </c>
      <c r="AZ492" t="inlineStr">
        <is>
          <t>BOOK</t>
        </is>
      </c>
      <c r="BB492" t="inlineStr">
        <is>
          <t>9780890879214</t>
        </is>
      </c>
      <c r="BC492" t="inlineStr">
        <is>
          <t>32285001381390</t>
        </is>
      </c>
      <c r="BD492" t="inlineStr">
        <is>
          <t>893599467</t>
        </is>
      </c>
    </row>
    <row r="493">
      <c r="A493" t="inlineStr">
        <is>
          <t>No</t>
        </is>
      </c>
      <c r="B493" t="inlineStr">
        <is>
          <t>HV6250.4.W65 S73 1985</t>
        </is>
      </c>
      <c r="C493" t="inlineStr">
        <is>
          <t>0                      HV 6250400W  65                 S  73          1985</t>
        </is>
      </c>
      <c r="D493" t="inlineStr">
        <is>
          <t>Intimate intrusions : women's experience of male violence / Elizabeth A. Stanko.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Stanko, Elizabeth Anne, 1950-</t>
        </is>
      </c>
      <c r="L493" t="inlineStr">
        <is>
          <t>London ; Boston : Routledge &amp; Kegan Paul, 1985.</t>
        </is>
      </c>
      <c r="M493" t="inlineStr">
        <is>
          <t>1985</t>
        </is>
      </c>
      <c r="O493" t="inlineStr">
        <is>
          <t>eng</t>
        </is>
      </c>
      <c r="P493" t="inlineStr">
        <is>
          <t>enk</t>
        </is>
      </c>
      <c r="R493" t="inlineStr">
        <is>
          <t xml:space="preserve">HV </t>
        </is>
      </c>
      <c r="S493" t="n">
        <v>9</v>
      </c>
      <c r="T493" t="n">
        <v>9</v>
      </c>
      <c r="U493" t="inlineStr">
        <is>
          <t>2007-11-13</t>
        </is>
      </c>
      <c r="V493" t="inlineStr">
        <is>
          <t>2007-11-13</t>
        </is>
      </c>
      <c r="W493" t="inlineStr">
        <is>
          <t>1990-05-25</t>
        </is>
      </c>
      <c r="X493" t="inlineStr">
        <is>
          <t>1990-05-25</t>
        </is>
      </c>
      <c r="Y493" t="n">
        <v>781</v>
      </c>
      <c r="Z493" t="n">
        <v>606</v>
      </c>
      <c r="AA493" t="n">
        <v>654</v>
      </c>
      <c r="AB493" t="n">
        <v>6</v>
      </c>
      <c r="AC493" t="n">
        <v>6</v>
      </c>
      <c r="AD493" t="n">
        <v>25</v>
      </c>
      <c r="AE493" t="n">
        <v>26</v>
      </c>
      <c r="AF493" t="n">
        <v>10</v>
      </c>
      <c r="AG493" t="n">
        <v>10</v>
      </c>
      <c r="AH493" t="n">
        <v>6</v>
      </c>
      <c r="AI493" t="n">
        <v>6</v>
      </c>
      <c r="AJ493" t="n">
        <v>9</v>
      </c>
      <c r="AK493" t="n">
        <v>10</v>
      </c>
      <c r="AL493" t="n">
        <v>5</v>
      </c>
      <c r="AM493" t="n">
        <v>5</v>
      </c>
      <c r="AN493" t="n">
        <v>1</v>
      </c>
      <c r="AO493" t="n">
        <v>1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HYPERLINK("http://catalog.hathitrust.org/Record/000413148","HathiTrust Record")</f>
        <v/>
      </c>
      <c r="AS493">
        <f>HYPERLINK("https://creighton-primo.hosted.exlibrisgroup.com/primo-explore/search?tab=default_tab&amp;search_scope=EVERYTHING&amp;vid=01CRU&amp;lang=en_US&amp;offset=0&amp;query=any,contains,991000425879702656","Catalog Record")</f>
        <v/>
      </c>
      <c r="AT493">
        <f>HYPERLINK("http://www.worldcat.org/oclc/10753295","WorldCat Record")</f>
        <v/>
      </c>
      <c r="AU493" t="inlineStr">
        <is>
          <t>2913503:eng</t>
        </is>
      </c>
      <c r="AV493" t="inlineStr">
        <is>
          <t>10753295</t>
        </is>
      </c>
      <c r="AW493" t="inlineStr">
        <is>
          <t>991000425879702656</t>
        </is>
      </c>
      <c r="AX493" t="inlineStr">
        <is>
          <t>991000425879702656</t>
        </is>
      </c>
      <c r="AY493" t="inlineStr">
        <is>
          <t>2267705430002656</t>
        </is>
      </c>
      <c r="AZ493" t="inlineStr">
        <is>
          <t>BOOK</t>
        </is>
      </c>
      <c r="BB493" t="inlineStr">
        <is>
          <t>9780710200693</t>
        </is>
      </c>
      <c r="BC493" t="inlineStr">
        <is>
          <t>32285000167097</t>
        </is>
      </c>
      <c r="BD493" t="inlineStr">
        <is>
          <t>893345645</t>
        </is>
      </c>
    </row>
    <row r="494">
      <c r="A494" t="inlineStr">
        <is>
          <t>No</t>
        </is>
      </c>
      <c r="B494" t="inlineStr">
        <is>
          <t>HV6250.4.W65 V52</t>
        </is>
      </c>
      <c r="C494" t="inlineStr">
        <is>
          <t>0                      HV 6250400W  65                 V  52</t>
        </is>
      </c>
      <c r="D494" t="inlineStr">
        <is>
          <t>The Victimization of women / edited by Jane Roberts Chapman and Margaret Gates.</t>
        </is>
      </c>
      <c r="F494" t="inlineStr">
        <is>
          <t>No</t>
        </is>
      </c>
      <c r="G494" t="inlineStr">
        <is>
          <t>1</t>
        </is>
      </c>
      <c r="H494" t="inlineStr">
        <is>
          <t>Yes</t>
        </is>
      </c>
      <c r="I494" t="inlineStr">
        <is>
          <t>No</t>
        </is>
      </c>
      <c r="J494" t="inlineStr">
        <is>
          <t>0</t>
        </is>
      </c>
      <c r="L494" t="inlineStr">
        <is>
          <t>Beverly Hills, Calif. : Sage Publications, c1978.</t>
        </is>
      </c>
      <c r="M494" t="inlineStr">
        <is>
          <t>1978</t>
        </is>
      </c>
      <c r="O494" t="inlineStr">
        <is>
          <t>eng</t>
        </is>
      </c>
      <c r="P494" t="inlineStr">
        <is>
          <t>cau</t>
        </is>
      </c>
      <c r="Q494" t="inlineStr">
        <is>
          <t>Sage yearbooks in women's policy studies ; v. 3</t>
        </is>
      </c>
      <c r="R494" t="inlineStr">
        <is>
          <t xml:space="preserve">HV </t>
        </is>
      </c>
      <c r="S494" t="n">
        <v>18</v>
      </c>
      <c r="T494" t="n">
        <v>19</v>
      </c>
      <c r="U494" t="inlineStr">
        <is>
          <t>2005-11-07</t>
        </is>
      </c>
      <c r="V494" t="inlineStr">
        <is>
          <t>2005-11-07</t>
        </is>
      </c>
      <c r="W494" t="inlineStr">
        <is>
          <t>1992-11-04</t>
        </is>
      </c>
      <c r="X494" t="inlineStr">
        <is>
          <t>1992-11-04</t>
        </is>
      </c>
      <c r="Y494" t="n">
        <v>750</v>
      </c>
      <c r="Z494" t="n">
        <v>636</v>
      </c>
      <c r="AA494" t="n">
        <v>643</v>
      </c>
      <c r="AB494" t="n">
        <v>5</v>
      </c>
      <c r="AC494" t="n">
        <v>5</v>
      </c>
      <c r="AD494" t="n">
        <v>33</v>
      </c>
      <c r="AE494" t="n">
        <v>33</v>
      </c>
      <c r="AF494" t="n">
        <v>11</v>
      </c>
      <c r="AG494" t="n">
        <v>11</v>
      </c>
      <c r="AH494" t="n">
        <v>7</v>
      </c>
      <c r="AI494" t="n">
        <v>7</v>
      </c>
      <c r="AJ494" t="n">
        <v>18</v>
      </c>
      <c r="AK494" t="n">
        <v>18</v>
      </c>
      <c r="AL494" t="n">
        <v>3</v>
      </c>
      <c r="AM494" t="n">
        <v>3</v>
      </c>
      <c r="AN494" t="n">
        <v>4</v>
      </c>
      <c r="AO494" t="n">
        <v>4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HYPERLINK("http://catalog.hathitrust.org/Record/000175119","HathiTrust Record")</f>
        <v/>
      </c>
      <c r="AS494">
        <f>HYPERLINK("https://creighton-primo.hosted.exlibrisgroup.com/primo-explore/search?tab=default_tab&amp;search_scope=EVERYTHING&amp;vid=01CRU&amp;lang=en_US&amp;offset=0&amp;query=any,contains,991001789959702656","Catalog Record")</f>
        <v/>
      </c>
      <c r="AT494">
        <f>HYPERLINK("http://www.worldcat.org/oclc/3955465","WorldCat Record")</f>
        <v/>
      </c>
      <c r="AU494" t="inlineStr">
        <is>
          <t>351986598:eng</t>
        </is>
      </c>
      <c r="AV494" t="inlineStr">
        <is>
          <t>3955465</t>
        </is>
      </c>
      <c r="AW494" t="inlineStr">
        <is>
          <t>991001789959702656</t>
        </is>
      </c>
      <c r="AX494" t="inlineStr">
        <is>
          <t>991001789959702656</t>
        </is>
      </c>
      <c r="AY494" t="inlineStr">
        <is>
          <t>2260081610002656</t>
        </is>
      </c>
      <c r="AZ494" t="inlineStr">
        <is>
          <t>BOOK</t>
        </is>
      </c>
      <c r="BB494" t="inlineStr">
        <is>
          <t>9780803909236</t>
        </is>
      </c>
      <c r="BC494" t="inlineStr">
        <is>
          <t>32285001381382</t>
        </is>
      </c>
      <c r="BD494" t="inlineStr">
        <is>
          <t>893785394</t>
        </is>
      </c>
    </row>
    <row r="495">
      <c r="A495" t="inlineStr">
        <is>
          <t>No</t>
        </is>
      </c>
      <c r="B495" t="inlineStr">
        <is>
          <t>HV6252 .C75 1997</t>
        </is>
      </c>
      <c r="C495" t="inlineStr">
        <is>
          <t>0                      HV 6252000C  75          1997</t>
        </is>
      </c>
      <c r="D495" t="inlineStr">
        <is>
          <t>Crime and law enforcement in the global village / edited by William F. McDonald.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L495" t="inlineStr">
        <is>
          <t>Highland Heights, KY. : Academy of Criminal Justice Sciences, Northern Kentucky University ; Cincinnati, OH : Anderson Pub. Co., 1997.</t>
        </is>
      </c>
      <c r="M495" t="inlineStr">
        <is>
          <t>1997</t>
        </is>
      </c>
      <c r="O495" t="inlineStr">
        <is>
          <t>eng</t>
        </is>
      </c>
      <c r="P495" t="inlineStr">
        <is>
          <t>kyu</t>
        </is>
      </c>
      <c r="Q495" t="inlineStr">
        <is>
          <t>ACJS/Anderson monograph series</t>
        </is>
      </c>
      <c r="R495" t="inlineStr">
        <is>
          <t xml:space="preserve">HV </t>
        </is>
      </c>
      <c r="S495" t="n">
        <v>2</v>
      </c>
      <c r="T495" t="n">
        <v>2</v>
      </c>
      <c r="U495" t="inlineStr">
        <is>
          <t>2004-04-21</t>
        </is>
      </c>
      <c r="V495" t="inlineStr">
        <is>
          <t>2004-04-21</t>
        </is>
      </c>
      <c r="W495" t="inlineStr">
        <is>
          <t>1999-01-21</t>
        </is>
      </c>
      <c r="X495" t="inlineStr">
        <is>
          <t>1999-01-21</t>
        </is>
      </c>
      <c r="Y495" t="n">
        <v>126</v>
      </c>
      <c r="Z495" t="n">
        <v>100</v>
      </c>
      <c r="AA495" t="n">
        <v>100</v>
      </c>
      <c r="AB495" t="n">
        <v>2</v>
      </c>
      <c r="AC495" t="n">
        <v>2</v>
      </c>
      <c r="AD495" t="n">
        <v>7</v>
      </c>
      <c r="AE495" t="n">
        <v>7</v>
      </c>
      <c r="AF495" t="n">
        <v>1</v>
      </c>
      <c r="AG495" t="n">
        <v>1</v>
      </c>
      <c r="AH495" t="n">
        <v>2</v>
      </c>
      <c r="AI495" t="n">
        <v>2</v>
      </c>
      <c r="AJ495" t="n">
        <v>1</v>
      </c>
      <c r="AK495" t="n">
        <v>1</v>
      </c>
      <c r="AL495" t="n">
        <v>1</v>
      </c>
      <c r="AM495" t="n">
        <v>1</v>
      </c>
      <c r="AN495" t="n">
        <v>3</v>
      </c>
      <c r="AO495" t="n">
        <v>3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HYPERLINK("https://creighton-primo.hosted.exlibrisgroup.com/primo-explore/search?tab=default_tab&amp;search_scope=EVERYTHING&amp;vid=01CRU&amp;lang=en_US&amp;offset=0&amp;query=any,contains,991002777879702656","Catalog Record")</f>
        <v/>
      </c>
      <c r="AT495">
        <f>HYPERLINK("http://www.worldcat.org/oclc/36476144","WorldCat Record")</f>
        <v/>
      </c>
      <c r="AU495" t="inlineStr">
        <is>
          <t>639739:eng</t>
        </is>
      </c>
      <c r="AV495" t="inlineStr">
        <is>
          <t>36476144</t>
        </is>
      </c>
      <c r="AW495" t="inlineStr">
        <is>
          <t>991002777879702656</t>
        </is>
      </c>
      <c r="AX495" t="inlineStr">
        <is>
          <t>991002777879702656</t>
        </is>
      </c>
      <c r="AY495" t="inlineStr">
        <is>
          <t>2258005040002656</t>
        </is>
      </c>
      <c r="AZ495" t="inlineStr">
        <is>
          <t>BOOK</t>
        </is>
      </c>
      <c r="BB495" t="inlineStr">
        <is>
          <t>9780870841965</t>
        </is>
      </c>
      <c r="BC495" t="inlineStr">
        <is>
          <t>32285003514592</t>
        </is>
      </c>
      <c r="BD495" t="inlineStr">
        <is>
          <t>893716899</t>
        </is>
      </c>
    </row>
    <row r="496">
      <c r="A496" t="inlineStr">
        <is>
          <t>No</t>
        </is>
      </c>
      <c r="B496" t="inlineStr">
        <is>
          <t>HV6252 .I45 1999</t>
        </is>
      </c>
      <c r="C496" t="inlineStr">
        <is>
          <t>0                      HV 6252000I  45          1999</t>
        </is>
      </c>
      <c r="D496" t="inlineStr">
        <is>
          <t>The illicit global economy and state power / edited by H. Richard Friman and Peter Andreas.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Lanham, MD : Rowman &amp; Littlefield Publishers, c1999.</t>
        </is>
      </c>
      <c r="M496" t="inlineStr">
        <is>
          <t>1999</t>
        </is>
      </c>
      <c r="O496" t="inlineStr">
        <is>
          <t>eng</t>
        </is>
      </c>
      <c r="P496" t="inlineStr">
        <is>
          <t>mdu</t>
        </is>
      </c>
      <c r="R496" t="inlineStr">
        <is>
          <t xml:space="preserve">HV </t>
        </is>
      </c>
      <c r="S496" t="n">
        <v>4</v>
      </c>
      <c r="T496" t="n">
        <v>4</v>
      </c>
      <c r="U496" t="inlineStr">
        <is>
          <t>2010-04-08</t>
        </is>
      </c>
      <c r="V496" t="inlineStr">
        <is>
          <t>2010-04-08</t>
        </is>
      </c>
      <c r="W496" t="inlineStr">
        <is>
          <t>2001-10-24</t>
        </is>
      </c>
      <c r="X496" t="inlineStr">
        <is>
          <t>2001-10-24</t>
        </is>
      </c>
      <c r="Y496" t="n">
        <v>255</v>
      </c>
      <c r="Z496" t="n">
        <v>207</v>
      </c>
      <c r="AA496" t="n">
        <v>257</v>
      </c>
      <c r="AB496" t="n">
        <v>1</v>
      </c>
      <c r="AC496" t="n">
        <v>1</v>
      </c>
      <c r="AD496" t="n">
        <v>11</v>
      </c>
      <c r="AE496" t="n">
        <v>15</v>
      </c>
      <c r="AF496" t="n">
        <v>2</v>
      </c>
      <c r="AG496" t="n">
        <v>4</v>
      </c>
      <c r="AH496" t="n">
        <v>4</v>
      </c>
      <c r="AI496" t="n">
        <v>7</v>
      </c>
      <c r="AJ496" t="n">
        <v>7</v>
      </c>
      <c r="AK496" t="n">
        <v>8</v>
      </c>
      <c r="AL496" t="n">
        <v>0</v>
      </c>
      <c r="AM496" t="n">
        <v>0</v>
      </c>
      <c r="AN496" t="n">
        <v>1</v>
      </c>
      <c r="AO496" t="n">
        <v>1</v>
      </c>
      <c r="AP496" t="inlineStr">
        <is>
          <t>No</t>
        </is>
      </c>
      <c r="AQ496" t="inlineStr">
        <is>
          <t>No</t>
        </is>
      </c>
      <c r="AS496">
        <f>HYPERLINK("https://creighton-primo.hosted.exlibrisgroup.com/primo-explore/search?tab=default_tab&amp;search_scope=EVERYTHING&amp;vid=01CRU&amp;lang=en_US&amp;offset=0&amp;query=any,contains,991003638419702656","Catalog Record")</f>
        <v/>
      </c>
      <c r="AT496">
        <f>HYPERLINK("http://www.worldcat.org/oclc/40230588","WorldCat Record")</f>
        <v/>
      </c>
      <c r="AU496" t="inlineStr">
        <is>
          <t>350269355:eng</t>
        </is>
      </c>
      <c r="AV496" t="inlineStr">
        <is>
          <t>40230588</t>
        </is>
      </c>
      <c r="AW496" t="inlineStr">
        <is>
          <t>991003638419702656</t>
        </is>
      </c>
      <c r="AX496" t="inlineStr">
        <is>
          <t>991003638419702656</t>
        </is>
      </c>
      <c r="AY496" t="inlineStr">
        <is>
          <t>2254922000002656</t>
        </is>
      </c>
      <c r="AZ496" t="inlineStr">
        <is>
          <t>BOOK</t>
        </is>
      </c>
      <c r="BB496" t="inlineStr">
        <is>
          <t>9780847693030</t>
        </is>
      </c>
      <c r="BC496" t="inlineStr">
        <is>
          <t>32285004399746</t>
        </is>
      </c>
      <c r="BD496" t="inlineStr">
        <is>
          <t>893692959</t>
        </is>
      </c>
    </row>
    <row r="497">
      <c r="A497" t="inlineStr">
        <is>
          <t>No</t>
        </is>
      </c>
      <c r="B497" t="inlineStr">
        <is>
          <t>HV6252 .K47 1997</t>
        </is>
      </c>
      <c r="C497" t="inlineStr">
        <is>
          <t>0                      HV 6252000K  47          1997</t>
        </is>
      </c>
      <c r="D497" t="inlineStr">
        <is>
          <t>The new war : the web of crime that threatens America's security / John Kerry.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Kerry, John, 1943-</t>
        </is>
      </c>
      <c r="L497" t="inlineStr">
        <is>
          <t>New York, NY : Simon &amp; Schuster, c1997.</t>
        </is>
      </c>
      <c r="M497" t="inlineStr">
        <is>
          <t>1997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HV </t>
        </is>
      </c>
      <c r="S497" t="n">
        <v>2</v>
      </c>
      <c r="T497" t="n">
        <v>2</v>
      </c>
      <c r="U497" t="inlineStr">
        <is>
          <t>2004-03-04</t>
        </is>
      </c>
      <c r="V497" t="inlineStr">
        <is>
          <t>2004-03-04</t>
        </is>
      </c>
      <c r="W497" t="inlineStr">
        <is>
          <t>1998-07-08</t>
        </is>
      </c>
      <c r="X497" t="inlineStr">
        <is>
          <t>1998-07-08</t>
        </is>
      </c>
      <c r="Y497" t="n">
        <v>490</v>
      </c>
      <c r="Z497" t="n">
        <v>464</v>
      </c>
      <c r="AA497" t="n">
        <v>474</v>
      </c>
      <c r="AB497" t="n">
        <v>3</v>
      </c>
      <c r="AC497" t="n">
        <v>3</v>
      </c>
      <c r="AD497" t="n">
        <v>23</v>
      </c>
      <c r="AE497" t="n">
        <v>24</v>
      </c>
      <c r="AF497" t="n">
        <v>7</v>
      </c>
      <c r="AG497" t="n">
        <v>8</v>
      </c>
      <c r="AH497" t="n">
        <v>4</v>
      </c>
      <c r="AI497" t="n">
        <v>4</v>
      </c>
      <c r="AJ497" t="n">
        <v>12</v>
      </c>
      <c r="AK497" t="n">
        <v>13</v>
      </c>
      <c r="AL497" t="n">
        <v>2</v>
      </c>
      <c r="AM497" t="n">
        <v>2</v>
      </c>
      <c r="AN497" t="n">
        <v>5</v>
      </c>
      <c r="AO497" t="n">
        <v>5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HYPERLINK("https://creighton-primo.hosted.exlibrisgroup.com/primo-explore/search?tab=default_tab&amp;search_scope=EVERYTHING&amp;vid=01CRU&amp;lang=en_US&amp;offset=0&amp;query=any,contains,991002759889702656","Catalog Record")</f>
        <v/>
      </c>
      <c r="AT497">
        <f>HYPERLINK("http://www.worldcat.org/oclc/36201436","WorldCat Record")</f>
        <v/>
      </c>
      <c r="AU497" t="inlineStr">
        <is>
          <t>34777940:eng</t>
        </is>
      </c>
      <c r="AV497" t="inlineStr">
        <is>
          <t>36201436</t>
        </is>
      </c>
      <c r="AW497" t="inlineStr">
        <is>
          <t>991002759889702656</t>
        </is>
      </c>
      <c r="AX497" t="inlineStr">
        <is>
          <t>991002759889702656</t>
        </is>
      </c>
      <c r="AY497" t="inlineStr">
        <is>
          <t>2266776600002656</t>
        </is>
      </c>
      <c r="AZ497" t="inlineStr">
        <is>
          <t>BOOK</t>
        </is>
      </c>
      <c r="BB497" t="inlineStr">
        <is>
          <t>9780684818153</t>
        </is>
      </c>
      <c r="BC497" t="inlineStr">
        <is>
          <t>32285003430369</t>
        </is>
      </c>
      <c r="BD497" t="inlineStr">
        <is>
          <t>893597835</t>
        </is>
      </c>
    </row>
    <row r="498">
      <c r="A498" t="inlineStr">
        <is>
          <t>No</t>
        </is>
      </c>
      <c r="B498" t="inlineStr">
        <is>
          <t>HV6252 .L43 2004</t>
        </is>
      </c>
      <c r="C498" t="inlineStr">
        <is>
          <t>0                      HV 6252000L  43          2004</t>
        </is>
      </c>
      <c r="D498" t="inlineStr">
        <is>
          <t>The global underworld : transnational crime and the United States / Donald R. Liddick.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Liddick, Don.</t>
        </is>
      </c>
      <c r="L498" t="inlineStr">
        <is>
          <t>Westport, Conn. : Praeger, 2004.</t>
        </is>
      </c>
      <c r="M498" t="inlineStr">
        <is>
          <t>2004</t>
        </is>
      </c>
      <c r="O498" t="inlineStr">
        <is>
          <t>eng</t>
        </is>
      </c>
      <c r="P498" t="inlineStr">
        <is>
          <t>ctu</t>
        </is>
      </c>
      <c r="Q498" t="inlineStr">
        <is>
          <t>International and comparative criminology</t>
        </is>
      </c>
      <c r="R498" t="inlineStr">
        <is>
          <t xml:space="preserve">HV </t>
        </is>
      </c>
      <c r="S498" t="n">
        <v>2</v>
      </c>
      <c r="T498" t="n">
        <v>2</v>
      </c>
      <c r="U498" t="inlineStr">
        <is>
          <t>2010-04-08</t>
        </is>
      </c>
      <c r="V498" t="inlineStr">
        <is>
          <t>2010-04-08</t>
        </is>
      </c>
      <c r="W498" t="inlineStr">
        <is>
          <t>2006-02-09</t>
        </is>
      </c>
      <c r="X498" t="inlineStr">
        <is>
          <t>2006-02-09</t>
        </is>
      </c>
      <c r="Y498" t="n">
        <v>591</v>
      </c>
      <c r="Z498" t="n">
        <v>535</v>
      </c>
      <c r="AA498" t="n">
        <v>1325</v>
      </c>
      <c r="AB498" t="n">
        <v>3</v>
      </c>
      <c r="AC498" t="n">
        <v>19</v>
      </c>
      <c r="AD498" t="n">
        <v>19</v>
      </c>
      <c r="AE498" t="n">
        <v>45</v>
      </c>
      <c r="AF498" t="n">
        <v>9</v>
      </c>
      <c r="AG498" t="n">
        <v>18</v>
      </c>
      <c r="AH498" t="n">
        <v>6</v>
      </c>
      <c r="AI498" t="n">
        <v>9</v>
      </c>
      <c r="AJ498" t="n">
        <v>8</v>
      </c>
      <c r="AK498" t="n">
        <v>15</v>
      </c>
      <c r="AL498" t="n">
        <v>2</v>
      </c>
      <c r="AM498" t="n">
        <v>11</v>
      </c>
      <c r="AN498" t="n">
        <v>0</v>
      </c>
      <c r="AO498" t="n">
        <v>1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HYPERLINK("https://creighton-primo.hosted.exlibrisgroup.com/primo-explore/search?tab=default_tab&amp;search_scope=EVERYTHING&amp;vid=01CRU&amp;lang=en_US&amp;offset=0&amp;query=any,contains,991004736869702656","Catalog Record")</f>
        <v/>
      </c>
      <c r="AT498">
        <f>HYPERLINK("http://www.worldcat.org/oclc/54365214","WorldCat Record")</f>
        <v/>
      </c>
      <c r="AU498" t="inlineStr">
        <is>
          <t>850648:eng</t>
        </is>
      </c>
      <c r="AV498" t="inlineStr">
        <is>
          <t>54365214</t>
        </is>
      </c>
      <c r="AW498" t="inlineStr">
        <is>
          <t>991004736869702656</t>
        </is>
      </c>
      <c r="AX498" t="inlineStr">
        <is>
          <t>991004736869702656</t>
        </is>
      </c>
      <c r="AY498" t="inlineStr">
        <is>
          <t>2258139390002656</t>
        </is>
      </c>
      <c r="AZ498" t="inlineStr">
        <is>
          <t>BOOK</t>
        </is>
      </c>
      <c r="BB498" t="inlineStr">
        <is>
          <t>9780275980740</t>
        </is>
      </c>
      <c r="BC498" t="inlineStr">
        <is>
          <t>32285005163679</t>
        </is>
      </c>
      <c r="BD498" t="inlineStr">
        <is>
          <t>893254040</t>
        </is>
      </c>
    </row>
    <row r="499">
      <c r="A499" t="inlineStr">
        <is>
          <t>No</t>
        </is>
      </c>
      <c r="B499" t="inlineStr">
        <is>
          <t>HV6295.D65 G84 2000</t>
        </is>
      </c>
      <c r="C499" t="inlineStr">
        <is>
          <t>0                      HV 6295000D  65                 G  84          2000</t>
        </is>
      </c>
      <c r="D499" t="inlineStr">
        <is>
          <t>Magnicidios en Dominicana : las muertes de Pepillo Salcedo, Ulises Heureaux, Mon Cáceres y Trujillo / Gustavo Guerrero Pichardo.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Guerrero Pichardo, Gustavo.</t>
        </is>
      </c>
      <c r="L499" t="inlineStr">
        <is>
          <t>Santo Domingo, República Dominicana : Ediciones Librería La Trinitaria, 2000.</t>
        </is>
      </c>
      <c r="M499" t="inlineStr">
        <is>
          <t>2000</t>
        </is>
      </c>
      <c r="N499" t="inlineStr">
        <is>
          <t>1. ed.</t>
        </is>
      </c>
      <c r="O499" t="inlineStr">
        <is>
          <t>spa</t>
        </is>
      </c>
      <c r="P499" t="inlineStr">
        <is>
          <t xml:space="preserve">dr </t>
        </is>
      </c>
      <c r="R499" t="inlineStr">
        <is>
          <t xml:space="preserve">HV </t>
        </is>
      </c>
      <c r="S499" t="n">
        <v>2</v>
      </c>
      <c r="T499" t="n">
        <v>2</v>
      </c>
      <c r="U499" t="inlineStr">
        <is>
          <t>2001-09-12</t>
        </is>
      </c>
      <c r="V499" t="inlineStr">
        <is>
          <t>2001-09-12</t>
        </is>
      </c>
      <c r="W499" t="inlineStr">
        <is>
          <t>2001-09-11</t>
        </is>
      </c>
      <c r="X499" t="inlineStr">
        <is>
          <t>2001-09-11</t>
        </is>
      </c>
      <c r="Y499" t="n">
        <v>19</v>
      </c>
      <c r="Z499" t="n">
        <v>17</v>
      </c>
      <c r="AA499" t="n">
        <v>18</v>
      </c>
      <c r="AB499" t="n">
        <v>1</v>
      </c>
      <c r="AC499" t="n">
        <v>1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HYPERLINK("https://creighton-primo.hosted.exlibrisgroup.com/primo-explore/search?tab=default_tab&amp;search_scope=EVERYTHING&amp;vid=01CRU&amp;lang=en_US&amp;offset=0&amp;query=any,contains,991003547179702656","Catalog Record")</f>
        <v/>
      </c>
      <c r="AT499">
        <f>HYPERLINK("http://www.worldcat.org/oclc/47807621","WorldCat Record")</f>
        <v/>
      </c>
      <c r="AU499" t="inlineStr">
        <is>
          <t>43826218:spa</t>
        </is>
      </c>
      <c r="AV499" t="inlineStr">
        <is>
          <t>47807621</t>
        </is>
      </c>
      <c r="AW499" t="inlineStr">
        <is>
          <t>991003547179702656</t>
        </is>
      </c>
      <c r="AX499" t="inlineStr">
        <is>
          <t>991003547179702656</t>
        </is>
      </c>
      <c r="AY499" t="inlineStr">
        <is>
          <t>2268282970002656</t>
        </is>
      </c>
      <c r="AZ499" t="inlineStr">
        <is>
          <t>BOOK</t>
        </is>
      </c>
      <c r="BB499" t="inlineStr">
        <is>
          <t>9789993401384</t>
        </is>
      </c>
      <c r="BC499" t="inlineStr">
        <is>
          <t>32285004390471</t>
        </is>
      </c>
      <c r="BD499" t="inlineStr">
        <is>
          <t>893435116</t>
        </is>
      </c>
    </row>
    <row r="500">
      <c r="A500" t="inlineStr">
        <is>
          <t>No</t>
        </is>
      </c>
      <c r="B500" t="inlineStr">
        <is>
          <t>HV6301 .M33 1997</t>
        </is>
      </c>
      <c r="C500" t="inlineStr">
        <is>
          <t>0                      HV 6301000M  33          1997</t>
        </is>
      </c>
      <c r="D500" t="inlineStr">
        <is>
          <t>Money for nothing : politicians, rent extraction, and political extortion / Fred S. McChesney.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McChesney, Fred S., 1948-</t>
        </is>
      </c>
      <c r="L500" t="inlineStr">
        <is>
          <t>Cambridge, Mass. : Harvard University Press, 1997.</t>
        </is>
      </c>
      <c r="M500" t="inlineStr">
        <is>
          <t>1997</t>
        </is>
      </c>
      <c r="O500" t="inlineStr">
        <is>
          <t>eng</t>
        </is>
      </c>
      <c r="P500" t="inlineStr">
        <is>
          <t>mau</t>
        </is>
      </c>
      <c r="R500" t="inlineStr">
        <is>
          <t xml:space="preserve">HV </t>
        </is>
      </c>
      <c r="S500" t="n">
        <v>1</v>
      </c>
      <c r="T500" t="n">
        <v>1</v>
      </c>
      <c r="U500" t="inlineStr">
        <is>
          <t>2010-01-18</t>
        </is>
      </c>
      <c r="V500" t="inlineStr">
        <is>
          <t>2010-01-18</t>
        </is>
      </c>
      <c r="W500" t="inlineStr">
        <is>
          <t>1998-05-05</t>
        </is>
      </c>
      <c r="X500" t="inlineStr">
        <is>
          <t>1998-05-05</t>
        </is>
      </c>
      <c r="Y500" t="n">
        <v>447</v>
      </c>
      <c r="Z500" t="n">
        <v>375</v>
      </c>
      <c r="AA500" t="n">
        <v>380</v>
      </c>
      <c r="AB500" t="n">
        <v>3</v>
      </c>
      <c r="AC500" t="n">
        <v>3</v>
      </c>
      <c r="AD500" t="n">
        <v>24</v>
      </c>
      <c r="AE500" t="n">
        <v>24</v>
      </c>
      <c r="AF500" t="n">
        <v>7</v>
      </c>
      <c r="AG500" t="n">
        <v>7</v>
      </c>
      <c r="AH500" t="n">
        <v>5</v>
      </c>
      <c r="AI500" t="n">
        <v>5</v>
      </c>
      <c r="AJ500" t="n">
        <v>10</v>
      </c>
      <c r="AK500" t="n">
        <v>10</v>
      </c>
      <c r="AL500" t="n">
        <v>2</v>
      </c>
      <c r="AM500" t="n">
        <v>2</v>
      </c>
      <c r="AN500" t="n">
        <v>6</v>
      </c>
      <c r="AO500" t="n">
        <v>6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HYPERLINK("https://creighton-primo.hosted.exlibrisgroup.com/primo-explore/search?tab=default_tab&amp;search_scope=EVERYTHING&amp;vid=01CRU&amp;lang=en_US&amp;offset=0&amp;query=any,contains,991002733079702656","Catalog Record")</f>
        <v/>
      </c>
      <c r="AT500">
        <f>HYPERLINK("http://www.worldcat.org/oclc/35849105","WorldCat Record")</f>
        <v/>
      </c>
      <c r="AU500" t="inlineStr">
        <is>
          <t>837034227:eng</t>
        </is>
      </c>
      <c r="AV500" t="inlineStr">
        <is>
          <t>35849105</t>
        </is>
      </c>
      <c r="AW500" t="inlineStr">
        <is>
          <t>991002733079702656</t>
        </is>
      </c>
      <c r="AX500" t="inlineStr">
        <is>
          <t>991002733079702656</t>
        </is>
      </c>
      <c r="AY500" t="inlineStr">
        <is>
          <t>2261265590002656</t>
        </is>
      </c>
      <c r="AZ500" t="inlineStr">
        <is>
          <t>BOOK</t>
        </is>
      </c>
      <c r="BB500" t="inlineStr">
        <is>
          <t>9780674583306</t>
        </is>
      </c>
      <c r="BC500" t="inlineStr">
        <is>
          <t>32285003405940</t>
        </is>
      </c>
      <c r="BD500" t="inlineStr">
        <is>
          <t>893498480</t>
        </is>
      </c>
    </row>
    <row r="501">
      <c r="A501" t="inlineStr">
        <is>
          <t>No</t>
        </is>
      </c>
      <c r="B501" t="inlineStr">
        <is>
          <t>HV6322.3.A7 G7 1992</t>
        </is>
      </c>
      <c r="C501" t="inlineStr">
        <is>
          <t>0                      HV 6322300A  7                  G  7           1992</t>
        </is>
      </c>
      <c r="D501" t="inlineStr">
        <is>
          <t>Divine violence : spectacle, psychosexuality, &amp; radical Christianity in the Argentine "dirty war" / Frank Graziano.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Graziano, Frank, 1955-</t>
        </is>
      </c>
      <c r="L501" t="inlineStr">
        <is>
          <t>Boulder, Colo. : Westview Press, 1992.</t>
        </is>
      </c>
      <c r="M501" t="inlineStr">
        <is>
          <t>1992</t>
        </is>
      </c>
      <c r="O501" t="inlineStr">
        <is>
          <t>eng</t>
        </is>
      </c>
      <c r="P501" t="inlineStr">
        <is>
          <t>cou</t>
        </is>
      </c>
      <c r="R501" t="inlineStr">
        <is>
          <t xml:space="preserve">HV </t>
        </is>
      </c>
      <c r="S501" t="n">
        <v>9</v>
      </c>
      <c r="T501" t="n">
        <v>9</v>
      </c>
      <c r="U501" t="inlineStr">
        <is>
          <t>2008-03-10</t>
        </is>
      </c>
      <c r="V501" t="inlineStr">
        <is>
          <t>2008-03-10</t>
        </is>
      </c>
      <c r="W501" t="inlineStr">
        <is>
          <t>1992-07-09</t>
        </is>
      </c>
      <c r="X501" t="inlineStr">
        <is>
          <t>1992-07-09</t>
        </is>
      </c>
      <c r="Y501" t="n">
        <v>299</v>
      </c>
      <c r="Z501" t="n">
        <v>239</v>
      </c>
      <c r="AA501" t="n">
        <v>241</v>
      </c>
      <c r="AB501" t="n">
        <v>2</v>
      </c>
      <c r="AC501" t="n">
        <v>2</v>
      </c>
      <c r="AD501" t="n">
        <v>12</v>
      </c>
      <c r="AE501" t="n">
        <v>12</v>
      </c>
      <c r="AF501" t="n">
        <v>3</v>
      </c>
      <c r="AG501" t="n">
        <v>3</v>
      </c>
      <c r="AH501" t="n">
        <v>3</v>
      </c>
      <c r="AI501" t="n">
        <v>3</v>
      </c>
      <c r="AJ501" t="n">
        <v>9</v>
      </c>
      <c r="AK501" t="n">
        <v>9</v>
      </c>
      <c r="AL501" t="n">
        <v>1</v>
      </c>
      <c r="AM501" t="n">
        <v>1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HYPERLINK("http://catalog.hathitrust.org/Record/002560979","HathiTrust Record")</f>
        <v/>
      </c>
      <c r="AS501">
        <f>HYPERLINK("https://creighton-primo.hosted.exlibrisgroup.com/primo-explore/search?tab=default_tab&amp;search_scope=EVERYTHING&amp;vid=01CRU&amp;lang=en_US&amp;offset=0&amp;query=any,contains,991001976719702656","Catalog Record")</f>
        <v/>
      </c>
      <c r="AT501">
        <f>HYPERLINK("http://www.worldcat.org/oclc/25050733","WorldCat Record")</f>
        <v/>
      </c>
      <c r="AU501" t="inlineStr">
        <is>
          <t>836860565:eng</t>
        </is>
      </c>
      <c r="AV501" t="inlineStr">
        <is>
          <t>25050733</t>
        </is>
      </c>
      <c r="AW501" t="inlineStr">
        <is>
          <t>991001976719702656</t>
        </is>
      </c>
      <c r="AX501" t="inlineStr">
        <is>
          <t>991001976719702656</t>
        </is>
      </c>
      <c r="AY501" t="inlineStr">
        <is>
          <t>2269006930002656</t>
        </is>
      </c>
      <c r="AZ501" t="inlineStr">
        <is>
          <t>BOOK</t>
        </is>
      </c>
      <c r="BB501" t="inlineStr">
        <is>
          <t>9780813382319</t>
        </is>
      </c>
      <c r="BC501" t="inlineStr">
        <is>
          <t>32285001158004</t>
        </is>
      </c>
      <c r="BD501" t="inlineStr">
        <is>
          <t>893809254</t>
        </is>
      </c>
    </row>
    <row r="502">
      <c r="A502" t="inlineStr">
        <is>
          <t>No</t>
        </is>
      </c>
      <c r="B502" t="inlineStr">
        <is>
          <t>HV6322.3.A7 M38 1999</t>
        </is>
      </c>
      <c r="C502" t="inlineStr">
        <is>
          <t>0                      HV 6322300A  7                  M  38          1999</t>
        </is>
      </c>
      <c r="D502" t="inlineStr">
        <is>
          <t>España acusa / Eduardo Martín de Pozuelo y Santiago Tarín.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Martín de Pozuelo, Eduardo, 1952-</t>
        </is>
      </c>
      <c r="L502" t="inlineStr">
        <is>
          <t>Barcelona : Plaza &amp; Janés, 1999.</t>
        </is>
      </c>
      <c r="M502" t="inlineStr">
        <is>
          <t>1999</t>
        </is>
      </c>
      <c r="N502" t="inlineStr">
        <is>
          <t>1. ed.</t>
        </is>
      </c>
      <c r="O502" t="inlineStr">
        <is>
          <t>spa</t>
        </is>
      </c>
      <c r="P502" t="inlineStr">
        <is>
          <t xml:space="preserve">sp </t>
        </is>
      </c>
      <c r="Q502" t="inlineStr">
        <is>
          <t>Así fue</t>
        </is>
      </c>
      <c r="R502" t="inlineStr">
        <is>
          <t xml:space="preserve">HV </t>
        </is>
      </c>
      <c r="S502" t="n">
        <v>1</v>
      </c>
      <c r="T502" t="n">
        <v>1</v>
      </c>
      <c r="U502" t="inlineStr">
        <is>
          <t>2000-09-05</t>
        </is>
      </c>
      <c r="V502" t="inlineStr">
        <is>
          <t>2000-09-05</t>
        </is>
      </c>
      <c r="W502" t="inlineStr">
        <is>
          <t>2000-09-05</t>
        </is>
      </c>
      <c r="X502" t="inlineStr">
        <is>
          <t>2000-09-05</t>
        </is>
      </c>
      <c r="Y502" t="n">
        <v>39</v>
      </c>
      <c r="Z502" t="n">
        <v>29</v>
      </c>
      <c r="AA502" t="n">
        <v>30</v>
      </c>
      <c r="AB502" t="n">
        <v>1</v>
      </c>
      <c r="AC502" t="n">
        <v>1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HYPERLINK("https://creighton-primo.hosted.exlibrisgroup.com/primo-explore/search?tab=default_tab&amp;search_scope=EVERYTHING&amp;vid=01CRU&amp;lang=en_US&amp;offset=0&amp;query=any,contains,991003264729702656","Catalog Record")</f>
        <v/>
      </c>
      <c r="AT502">
        <f>HYPERLINK("http://www.worldcat.org/oclc/41951757","WorldCat Record")</f>
        <v/>
      </c>
      <c r="AU502" t="inlineStr">
        <is>
          <t>26504038:spa</t>
        </is>
      </c>
      <c r="AV502" t="inlineStr">
        <is>
          <t>41951757</t>
        </is>
      </c>
      <c r="AW502" t="inlineStr">
        <is>
          <t>991003264729702656</t>
        </is>
      </c>
      <c r="AX502" t="inlineStr">
        <is>
          <t>991003264729702656</t>
        </is>
      </c>
      <c r="AY502" t="inlineStr">
        <is>
          <t>2269306090002656</t>
        </is>
      </c>
      <c r="AZ502" t="inlineStr">
        <is>
          <t>BOOK</t>
        </is>
      </c>
      <c r="BB502" t="inlineStr">
        <is>
          <t>9788401012563</t>
        </is>
      </c>
      <c r="BC502" t="inlineStr">
        <is>
          <t>32285003760104</t>
        </is>
      </c>
      <c r="BD502" t="inlineStr">
        <is>
          <t>893717482</t>
        </is>
      </c>
    </row>
    <row r="503">
      <c r="A503" t="inlineStr">
        <is>
          <t>No</t>
        </is>
      </c>
      <c r="B503" t="inlineStr">
        <is>
          <t>HV6322.7 .R86 1994</t>
        </is>
      </c>
      <c r="C503" t="inlineStr">
        <is>
          <t>0                      HV 6322700R  86          1994</t>
        </is>
      </c>
      <c r="D503" t="inlineStr">
        <is>
          <t>Death by government / R.J. Rummel ; with a foreword by Irving Louis Horowitz.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Rummel, R. J. (Rudolph J.), 1932-2014.</t>
        </is>
      </c>
      <c r="L503" t="inlineStr">
        <is>
          <t>New Brunswick, N.J. : Transactions Publishers, c1994.</t>
        </is>
      </c>
      <c r="M503" t="inlineStr">
        <is>
          <t>1994</t>
        </is>
      </c>
      <c r="O503" t="inlineStr">
        <is>
          <t>eng</t>
        </is>
      </c>
      <c r="P503" t="inlineStr">
        <is>
          <t>nju</t>
        </is>
      </c>
      <c r="R503" t="inlineStr">
        <is>
          <t xml:space="preserve">HV </t>
        </is>
      </c>
      <c r="S503" t="n">
        <v>15</v>
      </c>
      <c r="T503" t="n">
        <v>15</v>
      </c>
      <c r="U503" t="inlineStr">
        <is>
          <t>2005-03-14</t>
        </is>
      </c>
      <c r="V503" t="inlineStr">
        <is>
          <t>2005-03-14</t>
        </is>
      </c>
      <c r="W503" t="inlineStr">
        <is>
          <t>1995-11-09</t>
        </is>
      </c>
      <c r="X503" t="inlineStr">
        <is>
          <t>1995-11-09</t>
        </is>
      </c>
      <c r="Y503" t="n">
        <v>742</v>
      </c>
      <c r="Z503" t="n">
        <v>634</v>
      </c>
      <c r="AA503" t="n">
        <v>700</v>
      </c>
      <c r="AB503" t="n">
        <v>4</v>
      </c>
      <c r="AC503" t="n">
        <v>4</v>
      </c>
      <c r="AD503" t="n">
        <v>31</v>
      </c>
      <c r="AE503" t="n">
        <v>34</v>
      </c>
      <c r="AF503" t="n">
        <v>14</v>
      </c>
      <c r="AG503" t="n">
        <v>16</v>
      </c>
      <c r="AH503" t="n">
        <v>6</v>
      </c>
      <c r="AI503" t="n">
        <v>7</v>
      </c>
      <c r="AJ503" t="n">
        <v>15</v>
      </c>
      <c r="AK503" t="n">
        <v>16</v>
      </c>
      <c r="AL503" t="n">
        <v>3</v>
      </c>
      <c r="AM503" t="n">
        <v>3</v>
      </c>
      <c r="AN503" t="n">
        <v>2</v>
      </c>
      <c r="AO503" t="n">
        <v>2</v>
      </c>
      <c r="AP503" t="inlineStr">
        <is>
          <t>No</t>
        </is>
      </c>
      <c r="AQ503" t="inlineStr">
        <is>
          <t>No</t>
        </is>
      </c>
      <c r="AS503">
        <f>HYPERLINK("https://creighton-primo.hosted.exlibrisgroup.com/primo-explore/search?tab=default_tab&amp;search_scope=EVERYTHING&amp;vid=01CRU&amp;lang=en_US&amp;offset=0&amp;query=any,contains,991002243479702656","Catalog Record")</f>
        <v/>
      </c>
      <c r="AT503">
        <f>HYPERLINK("http://www.worldcat.org/oclc/28929046","WorldCat Record")</f>
        <v/>
      </c>
      <c r="AU503" t="inlineStr">
        <is>
          <t>670263:eng</t>
        </is>
      </c>
      <c r="AV503" t="inlineStr">
        <is>
          <t>28929046</t>
        </is>
      </c>
      <c r="AW503" t="inlineStr">
        <is>
          <t>991002243479702656</t>
        </is>
      </c>
      <c r="AX503" t="inlineStr">
        <is>
          <t>991002243479702656</t>
        </is>
      </c>
      <c r="AY503" t="inlineStr">
        <is>
          <t>2270699140002656</t>
        </is>
      </c>
      <c r="AZ503" t="inlineStr">
        <is>
          <t>BOOK</t>
        </is>
      </c>
      <c r="BB503" t="inlineStr">
        <is>
          <t>9781560001454</t>
        </is>
      </c>
      <c r="BC503" t="inlineStr">
        <is>
          <t>32285002102514</t>
        </is>
      </c>
      <c r="BD503" t="inlineStr">
        <is>
          <t>893773382</t>
        </is>
      </c>
    </row>
    <row r="504">
      <c r="A504" t="inlineStr">
        <is>
          <t>No</t>
        </is>
      </c>
      <c r="B504" t="inlineStr">
        <is>
          <t>HV635.5 .B47 1997</t>
        </is>
      </c>
      <c r="C504" t="inlineStr">
        <is>
          <t>0                      HV 0635500B  47          1997</t>
        </is>
      </c>
      <c r="D504" t="inlineStr">
        <is>
          <t>After the hurricane : linking recovery to sustainable development in the Caribbean / Philip R. Berke and Timothy Beatley.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Berke, Philip, 1951-</t>
        </is>
      </c>
      <c r="L504" t="inlineStr">
        <is>
          <t>Baltimore : Johns Hopkins University Press, 1997.</t>
        </is>
      </c>
      <c r="M504" t="inlineStr">
        <is>
          <t>1997</t>
        </is>
      </c>
      <c r="O504" t="inlineStr">
        <is>
          <t>eng</t>
        </is>
      </c>
      <c r="P504" t="inlineStr">
        <is>
          <t>mdu</t>
        </is>
      </c>
      <c r="R504" t="inlineStr">
        <is>
          <t xml:space="preserve">HV </t>
        </is>
      </c>
      <c r="S504" t="n">
        <v>5</v>
      </c>
      <c r="T504" t="n">
        <v>5</v>
      </c>
      <c r="U504" t="inlineStr">
        <is>
          <t>2008-04-22</t>
        </is>
      </c>
      <c r="V504" t="inlineStr">
        <is>
          <t>2008-04-22</t>
        </is>
      </c>
      <c r="W504" t="inlineStr">
        <is>
          <t>2000-09-26</t>
        </is>
      </c>
      <c r="X504" t="inlineStr">
        <is>
          <t>2000-09-26</t>
        </is>
      </c>
      <c r="Y504" t="n">
        <v>232</v>
      </c>
      <c r="Z504" t="n">
        <v>183</v>
      </c>
      <c r="AA504" t="n">
        <v>188</v>
      </c>
      <c r="AB504" t="n">
        <v>1</v>
      </c>
      <c r="AC504" t="n">
        <v>1</v>
      </c>
      <c r="AD504" t="n">
        <v>6</v>
      </c>
      <c r="AE504" t="n">
        <v>6</v>
      </c>
      <c r="AF504" t="n">
        <v>0</v>
      </c>
      <c r="AG504" t="n">
        <v>0</v>
      </c>
      <c r="AH504" t="n">
        <v>3</v>
      </c>
      <c r="AI504" t="n">
        <v>3</v>
      </c>
      <c r="AJ504" t="n">
        <v>5</v>
      </c>
      <c r="AK504" t="n">
        <v>5</v>
      </c>
      <c r="AL504" t="n">
        <v>0</v>
      </c>
      <c r="AM504" t="n">
        <v>0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HYPERLINK("https://creighton-primo.hosted.exlibrisgroup.com/primo-explore/search?tab=default_tab&amp;search_scope=EVERYTHING&amp;vid=01CRU&amp;lang=en_US&amp;offset=0&amp;query=any,contains,991003260479702656","Catalog Record")</f>
        <v/>
      </c>
      <c r="AT504">
        <f>HYPERLINK("http://www.worldcat.org/oclc/36284080","WorldCat Record")</f>
        <v/>
      </c>
      <c r="AU504" t="inlineStr">
        <is>
          <t>141774893:eng</t>
        </is>
      </c>
      <c r="AV504" t="inlineStr">
        <is>
          <t>36284080</t>
        </is>
      </c>
      <c r="AW504" t="inlineStr">
        <is>
          <t>991003260479702656</t>
        </is>
      </c>
      <c r="AX504" t="inlineStr">
        <is>
          <t>991003260479702656</t>
        </is>
      </c>
      <c r="AY504" t="inlineStr">
        <is>
          <t>2270948870002656</t>
        </is>
      </c>
      <c r="AZ504" t="inlineStr">
        <is>
          <t>BOOK</t>
        </is>
      </c>
      <c r="BB504" t="inlineStr">
        <is>
          <t>9780801856242</t>
        </is>
      </c>
      <c r="BC504" t="inlineStr">
        <is>
          <t>32285003764692</t>
        </is>
      </c>
      <c r="BD504" t="inlineStr">
        <is>
          <t>893598415</t>
        </is>
      </c>
    </row>
    <row r="505">
      <c r="A505" t="inlineStr">
        <is>
          <t>No</t>
        </is>
      </c>
      <c r="B505" t="inlineStr">
        <is>
          <t>HV639 .H88 1993</t>
        </is>
      </c>
      <c r="C505" t="inlineStr">
        <is>
          <t>0                      HV 0639000H  88          1993</t>
        </is>
      </c>
      <c r="D505" t="inlineStr">
        <is>
          <t>Humanitarianism across borders : sustaining civilians in times of war / edited by Thomas G. Weiss, Larry Minear.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Boulder, Colo. : Lynne Rienner, 1993.</t>
        </is>
      </c>
      <c r="M505" t="inlineStr">
        <is>
          <t>1993</t>
        </is>
      </c>
      <c r="O505" t="inlineStr">
        <is>
          <t>eng</t>
        </is>
      </c>
      <c r="P505" t="inlineStr">
        <is>
          <t>cou</t>
        </is>
      </c>
      <c r="Q505" t="inlineStr">
        <is>
          <t>Emerging global issues</t>
        </is>
      </c>
      <c r="R505" t="inlineStr">
        <is>
          <t xml:space="preserve">HV </t>
        </is>
      </c>
      <c r="S505" t="n">
        <v>4</v>
      </c>
      <c r="T505" t="n">
        <v>4</v>
      </c>
      <c r="U505" t="inlineStr">
        <is>
          <t>2003-02-24</t>
        </is>
      </c>
      <c r="V505" t="inlineStr">
        <is>
          <t>2003-02-24</t>
        </is>
      </c>
      <c r="W505" t="inlineStr">
        <is>
          <t>1993-12-22</t>
        </is>
      </c>
      <c r="X505" t="inlineStr">
        <is>
          <t>1993-12-22</t>
        </is>
      </c>
      <c r="Y505" t="n">
        <v>287</v>
      </c>
      <c r="Z505" t="n">
        <v>200</v>
      </c>
      <c r="AA505" t="n">
        <v>200</v>
      </c>
      <c r="AB505" t="n">
        <v>2</v>
      </c>
      <c r="AC505" t="n">
        <v>2</v>
      </c>
      <c r="AD505" t="n">
        <v>11</v>
      </c>
      <c r="AE505" t="n">
        <v>11</v>
      </c>
      <c r="AF505" t="n">
        <v>3</v>
      </c>
      <c r="AG505" t="n">
        <v>3</v>
      </c>
      <c r="AH505" t="n">
        <v>4</v>
      </c>
      <c r="AI505" t="n">
        <v>4</v>
      </c>
      <c r="AJ505" t="n">
        <v>5</v>
      </c>
      <c r="AK505" t="n">
        <v>5</v>
      </c>
      <c r="AL505" t="n">
        <v>1</v>
      </c>
      <c r="AM505" t="n">
        <v>1</v>
      </c>
      <c r="AN505" t="n">
        <v>1</v>
      </c>
      <c r="AO505" t="n">
        <v>1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HYPERLINK("https://creighton-primo.hosted.exlibrisgroup.com/primo-explore/search?tab=default_tab&amp;search_scope=EVERYTHING&amp;vid=01CRU&amp;lang=en_US&amp;offset=0&amp;query=any,contains,991002194799702656","Catalog Record")</f>
        <v/>
      </c>
      <c r="AT505">
        <f>HYPERLINK("http://www.worldcat.org/oclc/28218645","WorldCat Record")</f>
        <v/>
      </c>
      <c r="AU505" t="inlineStr">
        <is>
          <t>836788587:eng</t>
        </is>
      </c>
      <c r="AV505" t="inlineStr">
        <is>
          <t>28218645</t>
        </is>
      </c>
      <c r="AW505" t="inlineStr">
        <is>
          <t>991002194799702656</t>
        </is>
      </c>
      <c r="AX505" t="inlineStr">
        <is>
          <t>991002194799702656</t>
        </is>
      </c>
      <c r="AY505" t="inlineStr">
        <is>
          <t>2268374630002656</t>
        </is>
      </c>
      <c r="AZ505" t="inlineStr">
        <is>
          <t>BOOK</t>
        </is>
      </c>
      <c r="BB505" t="inlineStr">
        <is>
          <t>9781555874285</t>
        </is>
      </c>
      <c r="BC505" t="inlineStr">
        <is>
          <t>32285001817500</t>
        </is>
      </c>
      <c r="BD505" t="inlineStr">
        <is>
          <t>893256993</t>
        </is>
      </c>
    </row>
    <row r="506">
      <c r="A506" t="inlineStr">
        <is>
          <t>No</t>
        </is>
      </c>
      <c r="B506" t="inlineStr">
        <is>
          <t>HV640 .E35 1995</t>
        </is>
      </c>
      <c r="C506" t="inlineStr">
        <is>
          <t>0                      HV 0640000E  35          1995</t>
        </is>
      </c>
      <c r="D506" t="inlineStr">
        <is>
          <t>For whom there is no room : scenes from the refugee world / Eileen Egan.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Egan, Eileen.</t>
        </is>
      </c>
      <c r="L506" t="inlineStr">
        <is>
          <t>New York : Paulist Press, c1995.</t>
        </is>
      </c>
      <c r="M506" t="inlineStr">
        <is>
          <t>1995</t>
        </is>
      </c>
      <c r="O506" t="inlineStr">
        <is>
          <t>eng</t>
        </is>
      </c>
      <c r="P506" t="inlineStr">
        <is>
          <t>nyu</t>
        </is>
      </c>
      <c r="R506" t="inlineStr">
        <is>
          <t xml:space="preserve">HV </t>
        </is>
      </c>
      <c r="S506" t="n">
        <v>2</v>
      </c>
      <c r="T506" t="n">
        <v>2</v>
      </c>
      <c r="U506" t="inlineStr">
        <is>
          <t>2009-10-03</t>
        </is>
      </c>
      <c r="V506" t="inlineStr">
        <is>
          <t>2009-10-03</t>
        </is>
      </c>
      <c r="W506" t="inlineStr">
        <is>
          <t>1999-12-15</t>
        </is>
      </c>
      <c r="X506" t="inlineStr">
        <is>
          <t>1999-12-15</t>
        </is>
      </c>
      <c r="Y506" t="n">
        <v>259</v>
      </c>
      <c r="Z506" t="n">
        <v>242</v>
      </c>
      <c r="AA506" t="n">
        <v>247</v>
      </c>
      <c r="AB506" t="n">
        <v>2</v>
      </c>
      <c r="AC506" t="n">
        <v>2</v>
      </c>
      <c r="AD506" t="n">
        <v>25</v>
      </c>
      <c r="AE506" t="n">
        <v>25</v>
      </c>
      <c r="AF506" t="n">
        <v>8</v>
      </c>
      <c r="AG506" t="n">
        <v>8</v>
      </c>
      <c r="AH506" t="n">
        <v>6</v>
      </c>
      <c r="AI506" t="n">
        <v>6</v>
      </c>
      <c r="AJ506" t="n">
        <v>19</v>
      </c>
      <c r="AK506" t="n">
        <v>19</v>
      </c>
      <c r="AL506" t="n">
        <v>1</v>
      </c>
      <c r="AM506" t="n">
        <v>1</v>
      </c>
      <c r="AN506" t="n">
        <v>1</v>
      </c>
      <c r="AO506" t="n">
        <v>1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HYPERLINK("https://creighton-primo.hosted.exlibrisgroup.com/primo-explore/search?tab=default_tab&amp;search_scope=EVERYTHING&amp;vid=01CRU&amp;lang=en_US&amp;offset=0&amp;query=any,contains,991002407789702656","Catalog Record")</f>
        <v/>
      </c>
      <c r="AT506">
        <f>HYPERLINK("http://www.worldcat.org/oclc/31328579","WorldCat Record")</f>
        <v/>
      </c>
      <c r="AU506" t="inlineStr">
        <is>
          <t>476661181:eng</t>
        </is>
      </c>
      <c r="AV506" t="inlineStr">
        <is>
          <t>31328579</t>
        </is>
      </c>
      <c r="AW506" t="inlineStr">
        <is>
          <t>991002407789702656</t>
        </is>
      </c>
      <c r="AX506" t="inlineStr">
        <is>
          <t>991002407789702656</t>
        </is>
      </c>
      <c r="AY506" t="inlineStr">
        <is>
          <t>2256735760002656</t>
        </is>
      </c>
      <c r="AZ506" t="inlineStr">
        <is>
          <t>BOOK</t>
        </is>
      </c>
      <c r="BB506" t="inlineStr">
        <is>
          <t>9780809104734</t>
        </is>
      </c>
      <c r="BC506" t="inlineStr">
        <is>
          <t>32285003633855</t>
        </is>
      </c>
      <c r="BD506" t="inlineStr">
        <is>
          <t>893347465</t>
        </is>
      </c>
    </row>
    <row r="507">
      <c r="A507" t="inlineStr">
        <is>
          <t>No</t>
        </is>
      </c>
      <c r="B507" t="inlineStr">
        <is>
          <t>HV640 .F63 1998</t>
        </is>
      </c>
      <c r="C507" t="inlineStr">
        <is>
          <t>0                      HV 0640000F  63          1998</t>
        </is>
      </c>
      <c r="D507" t="inlineStr">
        <is>
          <t>The forsaken people : case studies of the internally displaced / Roberta Cohen and Francis M. Deng, editors.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L507" t="inlineStr">
        <is>
          <t>Washington, D.C. : Brookings Institution Press, c1998.</t>
        </is>
      </c>
      <c r="M507" t="inlineStr">
        <is>
          <t>1998</t>
        </is>
      </c>
      <c r="O507" t="inlineStr">
        <is>
          <t>eng</t>
        </is>
      </c>
      <c r="P507" t="inlineStr">
        <is>
          <t>dcu</t>
        </is>
      </c>
      <c r="R507" t="inlineStr">
        <is>
          <t xml:space="preserve">HV </t>
        </is>
      </c>
      <c r="S507" t="n">
        <v>1</v>
      </c>
      <c r="T507" t="n">
        <v>1</v>
      </c>
      <c r="U507" t="inlineStr">
        <is>
          <t>2009-10-03</t>
        </is>
      </c>
      <c r="V507" t="inlineStr">
        <is>
          <t>2009-10-03</t>
        </is>
      </c>
      <c r="W507" t="inlineStr">
        <is>
          <t>1998-08-06</t>
        </is>
      </c>
      <c r="X507" t="inlineStr">
        <is>
          <t>1998-08-06</t>
        </is>
      </c>
      <c r="Y507" t="n">
        <v>534</v>
      </c>
      <c r="Z507" t="n">
        <v>438</v>
      </c>
      <c r="AA507" t="n">
        <v>444</v>
      </c>
      <c r="AB507" t="n">
        <v>5</v>
      </c>
      <c r="AC507" t="n">
        <v>5</v>
      </c>
      <c r="AD507" t="n">
        <v>25</v>
      </c>
      <c r="AE507" t="n">
        <v>25</v>
      </c>
      <c r="AF507" t="n">
        <v>10</v>
      </c>
      <c r="AG507" t="n">
        <v>10</v>
      </c>
      <c r="AH507" t="n">
        <v>7</v>
      </c>
      <c r="AI507" t="n">
        <v>7</v>
      </c>
      <c r="AJ507" t="n">
        <v>10</v>
      </c>
      <c r="AK507" t="n">
        <v>10</v>
      </c>
      <c r="AL507" t="n">
        <v>4</v>
      </c>
      <c r="AM507" t="n">
        <v>4</v>
      </c>
      <c r="AN507" t="n">
        <v>2</v>
      </c>
      <c r="AO507" t="n">
        <v>2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HYPERLINK("https://creighton-primo.hosted.exlibrisgroup.com/primo-explore/search?tab=default_tab&amp;search_scope=EVERYTHING&amp;vid=01CRU&amp;lang=en_US&amp;offset=0&amp;query=any,contains,991002906789702656","Catalog Record")</f>
        <v/>
      </c>
      <c r="AT507">
        <f>HYPERLINK("http://www.worldcat.org/oclc/38390596","WorldCat Record")</f>
        <v/>
      </c>
      <c r="AU507" t="inlineStr">
        <is>
          <t>889920208:eng</t>
        </is>
      </c>
      <c r="AV507" t="inlineStr">
        <is>
          <t>38390596</t>
        </is>
      </c>
      <c r="AW507" t="inlineStr">
        <is>
          <t>991002906789702656</t>
        </is>
      </c>
      <c r="AX507" t="inlineStr">
        <is>
          <t>991002906789702656</t>
        </is>
      </c>
      <c r="AY507" t="inlineStr">
        <is>
          <t>2267693570002656</t>
        </is>
      </c>
      <c r="AZ507" t="inlineStr">
        <is>
          <t>BOOK</t>
        </is>
      </c>
      <c r="BB507" t="inlineStr">
        <is>
          <t>9780815715139</t>
        </is>
      </c>
      <c r="BC507" t="inlineStr">
        <is>
          <t>32285003449955</t>
        </is>
      </c>
      <c r="BD507" t="inlineStr">
        <is>
          <t>893717068</t>
        </is>
      </c>
    </row>
    <row r="508">
      <c r="A508" t="inlineStr">
        <is>
          <t>No</t>
        </is>
      </c>
      <c r="B508" t="inlineStr">
        <is>
          <t>HV640 .R432 1985</t>
        </is>
      </c>
      <c r="C508" t="inlineStr">
        <is>
          <t>0                      HV 0640000R  432         1985</t>
        </is>
      </c>
      <c r="D508" t="inlineStr">
        <is>
          <t>Refugees and world politics ; edited by Elizabeth G. Ferris.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New York : Praeger, 1985.</t>
        </is>
      </c>
      <c r="M508" t="inlineStr">
        <is>
          <t>1985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HV </t>
        </is>
      </c>
      <c r="S508" t="n">
        <v>5</v>
      </c>
      <c r="T508" t="n">
        <v>5</v>
      </c>
      <c r="U508" t="inlineStr">
        <is>
          <t>1995-08-28</t>
        </is>
      </c>
      <c r="V508" t="inlineStr">
        <is>
          <t>1995-08-28</t>
        </is>
      </c>
      <c r="W508" t="inlineStr">
        <is>
          <t>1992-03-13</t>
        </is>
      </c>
      <c r="X508" t="inlineStr">
        <is>
          <t>1992-03-13</t>
        </is>
      </c>
      <c r="Y508" t="n">
        <v>312</v>
      </c>
      <c r="Z508" t="n">
        <v>263</v>
      </c>
      <c r="AA508" t="n">
        <v>268</v>
      </c>
      <c r="AB508" t="n">
        <v>3</v>
      </c>
      <c r="AC508" t="n">
        <v>3</v>
      </c>
      <c r="AD508" t="n">
        <v>18</v>
      </c>
      <c r="AE508" t="n">
        <v>18</v>
      </c>
      <c r="AF508" t="n">
        <v>7</v>
      </c>
      <c r="AG508" t="n">
        <v>7</v>
      </c>
      <c r="AH508" t="n">
        <v>5</v>
      </c>
      <c r="AI508" t="n">
        <v>5</v>
      </c>
      <c r="AJ508" t="n">
        <v>8</v>
      </c>
      <c r="AK508" t="n">
        <v>8</v>
      </c>
      <c r="AL508" t="n">
        <v>2</v>
      </c>
      <c r="AM508" t="n">
        <v>2</v>
      </c>
      <c r="AN508" t="n">
        <v>2</v>
      </c>
      <c r="AO508" t="n">
        <v>2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HYPERLINK("https://creighton-primo.hosted.exlibrisgroup.com/primo-explore/search?tab=default_tab&amp;search_scope=EVERYTHING&amp;vid=01CRU&amp;lang=en_US&amp;offset=0&amp;query=any,contains,991000568399702656","Catalog Record")</f>
        <v/>
      </c>
      <c r="AT508">
        <f>HYPERLINK("http://www.worldcat.org/oclc/11623856","WorldCat Record")</f>
        <v/>
      </c>
      <c r="AU508" t="inlineStr">
        <is>
          <t>10173529486:eng</t>
        </is>
      </c>
      <c r="AV508" t="inlineStr">
        <is>
          <t>11623856</t>
        </is>
      </c>
      <c r="AW508" t="inlineStr">
        <is>
          <t>991000568399702656</t>
        </is>
      </c>
      <c r="AX508" t="inlineStr">
        <is>
          <t>991000568399702656</t>
        </is>
      </c>
      <c r="AY508" t="inlineStr">
        <is>
          <t>2261955740002656</t>
        </is>
      </c>
      <c r="AZ508" t="inlineStr">
        <is>
          <t>BOOK</t>
        </is>
      </c>
      <c r="BB508" t="inlineStr">
        <is>
          <t>9780030720437</t>
        </is>
      </c>
      <c r="BC508" t="inlineStr">
        <is>
          <t>32285000999739</t>
        </is>
      </c>
      <c r="BD508" t="inlineStr">
        <is>
          <t>893878179</t>
        </is>
      </c>
    </row>
    <row r="509">
      <c r="A509" t="inlineStr">
        <is>
          <t>No</t>
        </is>
      </c>
      <c r="B509" t="inlineStr">
        <is>
          <t>HV640.3 .O45 2005</t>
        </is>
      </c>
      <c r="C509" t="inlineStr">
        <is>
          <t>0                      HV 0640300O  45          2005</t>
        </is>
      </c>
      <c r="D509" t="inlineStr">
        <is>
          <t>The turbulent decade : confronting the refugee crises of the 1990s / Sadako Ogata ; foreword by Kofi Annan.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Ogata, Sadako N.</t>
        </is>
      </c>
      <c r="L509" t="inlineStr">
        <is>
          <t>New York : W.W. Norton, c2005.</t>
        </is>
      </c>
      <c r="M509" t="inlineStr">
        <is>
          <t>2005</t>
        </is>
      </c>
      <c r="N509" t="inlineStr">
        <is>
          <t>1st ed.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HV </t>
        </is>
      </c>
      <c r="S509" t="n">
        <v>1</v>
      </c>
      <c r="T509" t="n">
        <v>1</v>
      </c>
      <c r="U509" t="inlineStr">
        <is>
          <t>2009-04-01</t>
        </is>
      </c>
      <c r="V509" t="inlineStr">
        <is>
          <t>2009-04-01</t>
        </is>
      </c>
      <c r="W509" t="inlineStr">
        <is>
          <t>2009-04-01</t>
        </is>
      </c>
      <c r="X509" t="inlineStr">
        <is>
          <t>2009-04-01</t>
        </is>
      </c>
      <c r="Y509" t="n">
        <v>776</v>
      </c>
      <c r="Z509" t="n">
        <v>600</v>
      </c>
      <c r="AA509" t="n">
        <v>601</v>
      </c>
      <c r="AB509" t="n">
        <v>3</v>
      </c>
      <c r="AC509" t="n">
        <v>3</v>
      </c>
      <c r="AD509" t="n">
        <v>25</v>
      </c>
      <c r="AE509" t="n">
        <v>25</v>
      </c>
      <c r="AF509" t="n">
        <v>12</v>
      </c>
      <c r="AG509" t="n">
        <v>12</v>
      </c>
      <c r="AH509" t="n">
        <v>8</v>
      </c>
      <c r="AI509" t="n">
        <v>8</v>
      </c>
      <c r="AJ509" t="n">
        <v>13</v>
      </c>
      <c r="AK509" t="n">
        <v>13</v>
      </c>
      <c r="AL509" t="n">
        <v>2</v>
      </c>
      <c r="AM509" t="n">
        <v>2</v>
      </c>
      <c r="AN509" t="n">
        <v>0</v>
      </c>
      <c r="AO509" t="n">
        <v>0</v>
      </c>
      <c r="AP509" t="inlineStr">
        <is>
          <t>No</t>
        </is>
      </c>
      <c r="AQ509" t="inlineStr">
        <is>
          <t>No</t>
        </is>
      </c>
      <c r="AS509">
        <f>HYPERLINK("https://creighton-primo.hosted.exlibrisgroup.com/primo-explore/search?tab=default_tab&amp;search_scope=EVERYTHING&amp;vid=01CRU&amp;lang=en_US&amp;offset=0&amp;query=any,contains,991005307369702656","Catalog Record")</f>
        <v/>
      </c>
      <c r="AT509">
        <f>HYPERLINK("http://www.worldcat.org/oclc/57134404","WorldCat Record")</f>
        <v/>
      </c>
      <c r="AU509" t="inlineStr">
        <is>
          <t>805991693:eng</t>
        </is>
      </c>
      <c r="AV509" t="inlineStr">
        <is>
          <t>57134404</t>
        </is>
      </c>
      <c r="AW509" t="inlineStr">
        <is>
          <t>991005307369702656</t>
        </is>
      </c>
      <c r="AX509" t="inlineStr">
        <is>
          <t>991005307369702656</t>
        </is>
      </c>
      <c r="AY509" t="inlineStr">
        <is>
          <t>2266106270002656</t>
        </is>
      </c>
      <c r="AZ509" t="inlineStr">
        <is>
          <t>BOOK</t>
        </is>
      </c>
      <c r="BB509" t="inlineStr">
        <is>
          <t>9780393057737</t>
        </is>
      </c>
      <c r="BC509" t="inlineStr">
        <is>
          <t>32285005512941</t>
        </is>
      </c>
      <c r="BD509" t="inlineStr">
        <is>
          <t>893902453</t>
        </is>
      </c>
    </row>
    <row r="510">
      <c r="A510" t="inlineStr">
        <is>
          <t>No</t>
        </is>
      </c>
      <c r="B510" t="inlineStr">
        <is>
          <t>HV640.4.A35 L36 1999</t>
        </is>
      </c>
      <c r="C510" t="inlineStr">
        <is>
          <t>0                      HV 0640400A  35                 L  36          1999</t>
        </is>
      </c>
      <c r="D510" t="inlineStr">
        <is>
          <t>Aid to Africa : so much to do, so little done / Carol Lancaster.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Lancaster, Carol.</t>
        </is>
      </c>
      <c r="L510" t="inlineStr">
        <is>
          <t>Chicago : University of Chicago Press, 1999.</t>
        </is>
      </c>
      <c r="M510" t="inlineStr">
        <is>
          <t>1999</t>
        </is>
      </c>
      <c r="O510" t="inlineStr">
        <is>
          <t>eng</t>
        </is>
      </c>
      <c r="P510" t="inlineStr">
        <is>
          <t>ilu</t>
        </is>
      </c>
      <c r="R510" t="inlineStr">
        <is>
          <t xml:space="preserve">HV </t>
        </is>
      </c>
      <c r="S510" t="n">
        <v>18</v>
      </c>
      <c r="T510" t="n">
        <v>18</v>
      </c>
      <c r="U510" t="inlineStr">
        <is>
          <t>2007-04-09</t>
        </is>
      </c>
      <c r="V510" t="inlineStr">
        <is>
          <t>2007-04-09</t>
        </is>
      </c>
      <c r="W510" t="inlineStr">
        <is>
          <t>1999-08-23</t>
        </is>
      </c>
      <c r="X510" t="inlineStr">
        <is>
          <t>1999-08-23</t>
        </is>
      </c>
      <c r="Y510" t="n">
        <v>441</v>
      </c>
      <c r="Z510" t="n">
        <v>342</v>
      </c>
      <c r="AA510" t="n">
        <v>347</v>
      </c>
      <c r="AB510" t="n">
        <v>2</v>
      </c>
      <c r="AC510" t="n">
        <v>2</v>
      </c>
      <c r="AD510" t="n">
        <v>16</v>
      </c>
      <c r="AE510" t="n">
        <v>16</v>
      </c>
      <c r="AF510" t="n">
        <v>5</v>
      </c>
      <c r="AG510" t="n">
        <v>5</v>
      </c>
      <c r="AH510" t="n">
        <v>7</v>
      </c>
      <c r="AI510" t="n">
        <v>7</v>
      </c>
      <c r="AJ510" t="n">
        <v>8</v>
      </c>
      <c r="AK510" t="n">
        <v>8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HYPERLINK("https://creighton-primo.hosted.exlibrisgroup.com/primo-explore/search?tab=default_tab&amp;search_scope=EVERYTHING&amp;vid=01CRU&amp;lang=en_US&amp;offset=0&amp;query=any,contains,991005429129702656","Catalog Record")</f>
        <v/>
      </c>
      <c r="AT510">
        <f>HYPERLINK("http://www.worldcat.org/oclc/39498617","WorldCat Record")</f>
        <v/>
      </c>
      <c r="AU510" t="inlineStr">
        <is>
          <t>906437605:eng</t>
        </is>
      </c>
      <c r="AV510" t="inlineStr">
        <is>
          <t>39498617</t>
        </is>
      </c>
      <c r="AW510" t="inlineStr">
        <is>
          <t>991005429129702656</t>
        </is>
      </c>
      <c r="AX510" t="inlineStr">
        <is>
          <t>991005429129702656</t>
        </is>
      </c>
      <c r="AY510" t="inlineStr">
        <is>
          <t>2261708250002656</t>
        </is>
      </c>
      <c r="AZ510" t="inlineStr">
        <is>
          <t>BOOK</t>
        </is>
      </c>
      <c r="BB510" t="inlineStr">
        <is>
          <t>9780226468389</t>
        </is>
      </c>
      <c r="BC510" t="inlineStr">
        <is>
          <t>32285003583340</t>
        </is>
      </c>
      <c r="BD510" t="inlineStr">
        <is>
          <t>893353918</t>
        </is>
      </c>
    </row>
    <row r="511">
      <c r="A511" t="inlineStr">
        <is>
          <t>No</t>
        </is>
      </c>
      <c r="B511" t="inlineStr">
        <is>
          <t>HV640.4.A35 R429 1987</t>
        </is>
      </c>
      <c r="C511" t="inlineStr">
        <is>
          <t>0                      HV 0640400A  35                 R  429         1987</t>
        </is>
      </c>
      <c r="D511" t="inlineStr">
        <is>
          <t>Refugees and development in Africa / edited by Peter Nobel.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L511" t="inlineStr">
        <is>
          <t>Uppsala : Scandinavian Institute of African Studies ; Stockholm, Sweden : Distributed by Almqvist &amp; Wiksell International, 1987.</t>
        </is>
      </c>
      <c r="M511" t="inlineStr">
        <is>
          <t>1987</t>
        </is>
      </c>
      <c r="O511" t="inlineStr">
        <is>
          <t>eng</t>
        </is>
      </c>
      <c r="P511" t="inlineStr">
        <is>
          <t xml:space="preserve">sw </t>
        </is>
      </c>
      <c r="Q511" t="inlineStr">
        <is>
          <t>Seminar proceedings, 0281-0018 ; no. 19</t>
        </is>
      </c>
      <c r="R511" t="inlineStr">
        <is>
          <t xml:space="preserve">HV </t>
        </is>
      </c>
      <c r="S511" t="n">
        <v>7</v>
      </c>
      <c r="T511" t="n">
        <v>7</v>
      </c>
      <c r="U511" t="inlineStr">
        <is>
          <t>2007-03-26</t>
        </is>
      </c>
      <c r="V511" t="inlineStr">
        <is>
          <t>2007-03-26</t>
        </is>
      </c>
      <c r="W511" t="inlineStr">
        <is>
          <t>1992-09-28</t>
        </is>
      </c>
      <c r="X511" t="inlineStr">
        <is>
          <t>1992-09-28</t>
        </is>
      </c>
      <c r="Y511" t="n">
        <v>153</v>
      </c>
      <c r="Z511" t="n">
        <v>77</v>
      </c>
      <c r="AA511" t="n">
        <v>77</v>
      </c>
      <c r="AB511" t="n">
        <v>1</v>
      </c>
      <c r="AC511" t="n">
        <v>1</v>
      </c>
      <c r="AD511" t="n">
        <v>3</v>
      </c>
      <c r="AE511" t="n">
        <v>3</v>
      </c>
      <c r="AF511" t="n">
        <v>1</v>
      </c>
      <c r="AG511" t="n">
        <v>1</v>
      </c>
      <c r="AH511" t="n">
        <v>1</v>
      </c>
      <c r="AI511" t="n">
        <v>1</v>
      </c>
      <c r="AJ511" t="n">
        <v>2</v>
      </c>
      <c r="AK511" t="n">
        <v>2</v>
      </c>
      <c r="AL511" t="n">
        <v>0</v>
      </c>
      <c r="AM511" t="n">
        <v>0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HYPERLINK("https://creighton-primo.hosted.exlibrisgroup.com/primo-explore/search?tab=default_tab&amp;search_scope=EVERYTHING&amp;vid=01CRU&amp;lang=en_US&amp;offset=0&amp;query=any,contains,991001287719702656","Catalog Record")</f>
        <v/>
      </c>
      <c r="AT511">
        <f>HYPERLINK("http://www.worldcat.org/oclc/17977909","WorldCat Record")</f>
        <v/>
      </c>
      <c r="AU511" t="inlineStr">
        <is>
          <t>5609479875:eng</t>
        </is>
      </c>
      <c r="AV511" t="inlineStr">
        <is>
          <t>17977909</t>
        </is>
      </c>
      <c r="AW511" t="inlineStr">
        <is>
          <t>991001287719702656</t>
        </is>
      </c>
      <c r="AX511" t="inlineStr">
        <is>
          <t>991001287719702656</t>
        </is>
      </c>
      <c r="AY511" t="inlineStr">
        <is>
          <t>2272293450002656</t>
        </is>
      </c>
      <c r="AZ511" t="inlineStr">
        <is>
          <t>BOOK</t>
        </is>
      </c>
      <c r="BB511" t="inlineStr">
        <is>
          <t>9789171062727</t>
        </is>
      </c>
      <c r="BC511" t="inlineStr">
        <is>
          <t>32285001289155</t>
        </is>
      </c>
      <c r="BD511" t="inlineStr">
        <is>
          <t>893522467</t>
        </is>
      </c>
    </row>
    <row r="512">
      <c r="A512" t="inlineStr">
        <is>
          <t>No</t>
        </is>
      </c>
      <c r="B512" t="inlineStr">
        <is>
          <t>HV640.4.D65 D53 2000</t>
        </is>
      </c>
      <c r="C512" t="inlineStr">
        <is>
          <t>0                      HV 0640400D  65                 D  53          2000</t>
        </is>
      </c>
      <c r="D512" t="inlineStr">
        <is>
          <t>Mártires por error / José Díaz.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Díaz, José (Physician)</t>
        </is>
      </c>
      <c r="L512" t="inlineStr">
        <is>
          <t>Santo Domingo, República Dominicana : [s.n.], 2000.</t>
        </is>
      </c>
      <c r="M512" t="inlineStr">
        <is>
          <t>2000</t>
        </is>
      </c>
      <c r="N512" t="inlineStr">
        <is>
          <t>1. ed.</t>
        </is>
      </c>
      <c r="O512" t="inlineStr">
        <is>
          <t>spa</t>
        </is>
      </c>
      <c r="P512" t="inlineStr">
        <is>
          <t xml:space="preserve">dr </t>
        </is>
      </c>
      <c r="R512" t="inlineStr">
        <is>
          <t xml:space="preserve">HV </t>
        </is>
      </c>
      <c r="S512" t="n">
        <v>1</v>
      </c>
      <c r="T512" t="n">
        <v>1</v>
      </c>
      <c r="U512" t="inlineStr">
        <is>
          <t>2001-09-12</t>
        </is>
      </c>
      <c r="V512" t="inlineStr">
        <is>
          <t>2001-09-12</t>
        </is>
      </c>
      <c r="W512" t="inlineStr">
        <is>
          <t>2001-09-11</t>
        </is>
      </c>
      <c r="X512" t="inlineStr">
        <is>
          <t>2001-09-11</t>
        </is>
      </c>
      <c r="Y512" t="n">
        <v>11</v>
      </c>
      <c r="Z512" t="n">
        <v>11</v>
      </c>
      <c r="AA512" t="n">
        <v>11</v>
      </c>
      <c r="AB512" t="n">
        <v>1</v>
      </c>
      <c r="AC512" t="n">
        <v>1</v>
      </c>
      <c r="AD512" t="n">
        <v>1</v>
      </c>
      <c r="AE512" t="n">
        <v>1</v>
      </c>
      <c r="AF512" t="n">
        <v>0</v>
      </c>
      <c r="AG512" t="n">
        <v>0</v>
      </c>
      <c r="AH512" t="n">
        <v>1</v>
      </c>
      <c r="AI512" t="n">
        <v>1</v>
      </c>
      <c r="AJ512" t="n">
        <v>0</v>
      </c>
      <c r="AK512" t="n">
        <v>0</v>
      </c>
      <c r="AL512" t="n">
        <v>0</v>
      </c>
      <c r="AM512" t="n">
        <v>0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HYPERLINK("https://creighton-primo.hosted.exlibrisgroup.com/primo-explore/search?tab=default_tab&amp;search_scope=EVERYTHING&amp;vid=01CRU&amp;lang=en_US&amp;offset=0&amp;query=any,contains,991003625739702656","Catalog Record")</f>
        <v/>
      </c>
      <c r="AT512">
        <f>HYPERLINK("http://www.worldcat.org/oclc/47195146","WorldCat Record")</f>
        <v/>
      </c>
      <c r="AU512" t="inlineStr">
        <is>
          <t>36799472:spa</t>
        </is>
      </c>
      <c r="AV512" t="inlineStr">
        <is>
          <t>47195146</t>
        </is>
      </c>
      <c r="AW512" t="inlineStr">
        <is>
          <t>991003625739702656</t>
        </is>
      </c>
      <c r="AX512" t="inlineStr">
        <is>
          <t>991003625739702656</t>
        </is>
      </c>
      <c r="AY512" t="inlineStr">
        <is>
          <t>2267005770002656</t>
        </is>
      </c>
      <c r="AZ512" t="inlineStr">
        <is>
          <t>BOOK</t>
        </is>
      </c>
      <c r="BC512" t="inlineStr">
        <is>
          <t>32285004390539</t>
        </is>
      </c>
      <c r="BD512" t="inlineStr">
        <is>
          <t>893774965</t>
        </is>
      </c>
    </row>
    <row r="513">
      <c r="A513" t="inlineStr">
        <is>
          <t>No</t>
        </is>
      </c>
      <c r="B513" t="inlineStr">
        <is>
          <t>HV640.4.E8 B48 2002</t>
        </is>
      </c>
      <c r="C513" t="inlineStr">
        <is>
          <t>0                      HV 0640400E  8                  B  48          2002</t>
        </is>
      </c>
      <c r="D513" t="inlineStr">
        <is>
          <t>Between sorrow and strength : women refugees of the Nazi period / edited by Sibylle Quack.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L513" t="inlineStr">
        <is>
          <t>Cambridge : Cambridge University Press, 2002.</t>
        </is>
      </c>
      <c r="M513" t="inlineStr">
        <is>
          <t>2002</t>
        </is>
      </c>
      <c r="O513" t="inlineStr">
        <is>
          <t>eng</t>
        </is>
      </c>
      <c r="P513" t="inlineStr">
        <is>
          <t>enk</t>
        </is>
      </c>
      <c r="R513" t="inlineStr">
        <is>
          <t xml:space="preserve">HV </t>
        </is>
      </c>
      <c r="S513" t="n">
        <v>1</v>
      </c>
      <c r="T513" t="n">
        <v>1</v>
      </c>
      <c r="U513" t="inlineStr">
        <is>
          <t>2007-07-06</t>
        </is>
      </c>
      <c r="V513" t="inlineStr">
        <is>
          <t>2007-07-06</t>
        </is>
      </c>
      <c r="W513" t="inlineStr">
        <is>
          <t>2005-05-03</t>
        </is>
      </c>
      <c r="X513" t="inlineStr">
        <is>
          <t>2005-05-03</t>
        </is>
      </c>
      <c r="Y513" t="n">
        <v>15</v>
      </c>
      <c r="Z513" t="n">
        <v>8</v>
      </c>
      <c r="AA513" t="n">
        <v>215</v>
      </c>
      <c r="AB513" t="n">
        <v>1</v>
      </c>
      <c r="AC513" t="n">
        <v>2</v>
      </c>
      <c r="AD513" t="n">
        <v>0</v>
      </c>
      <c r="AE513" t="n">
        <v>13</v>
      </c>
      <c r="AF513" t="n">
        <v>0</v>
      </c>
      <c r="AG513" t="n">
        <v>3</v>
      </c>
      <c r="AH513" t="n">
        <v>0</v>
      </c>
      <c r="AI513" t="n">
        <v>4</v>
      </c>
      <c r="AJ513" t="n">
        <v>0</v>
      </c>
      <c r="AK513" t="n">
        <v>8</v>
      </c>
      <c r="AL513" t="n">
        <v>0</v>
      </c>
      <c r="AM513" t="n">
        <v>1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HYPERLINK("https://creighton-primo.hosted.exlibrisgroup.com/primo-explore/search?tab=default_tab&amp;search_scope=EVERYTHING&amp;vid=01CRU&amp;lang=en_US&amp;offset=0&amp;query=any,contains,991004525719702656","Catalog Record")</f>
        <v/>
      </c>
      <c r="AT513">
        <f>HYPERLINK("http://www.worldcat.org/oclc/49737780","WorldCat Record")</f>
        <v/>
      </c>
      <c r="AU513" t="inlineStr">
        <is>
          <t>836917251:eng</t>
        </is>
      </c>
      <c r="AV513" t="inlineStr">
        <is>
          <t>49737780</t>
        </is>
      </c>
      <c r="AW513" t="inlineStr">
        <is>
          <t>991004525719702656</t>
        </is>
      </c>
      <c r="AX513" t="inlineStr">
        <is>
          <t>991004525719702656</t>
        </is>
      </c>
      <c r="AY513" t="inlineStr">
        <is>
          <t>2261916460002656</t>
        </is>
      </c>
      <c r="AZ513" t="inlineStr">
        <is>
          <t>BOOK</t>
        </is>
      </c>
      <c r="BB513" t="inlineStr">
        <is>
          <t>9780521522854</t>
        </is>
      </c>
      <c r="BC513" t="inlineStr">
        <is>
          <t>32285005034615</t>
        </is>
      </c>
      <c r="BD513" t="inlineStr">
        <is>
          <t>893694038</t>
        </is>
      </c>
    </row>
    <row r="514">
      <c r="A514" t="inlineStr">
        <is>
          <t>No</t>
        </is>
      </c>
      <c r="B514" t="inlineStr">
        <is>
          <t>HV640.4.S67 G62 2006</t>
        </is>
      </c>
      <c r="C514" t="inlineStr">
        <is>
          <t>0                      HV 0640400S  67                 G  62          2006</t>
        </is>
      </c>
      <c r="D514" t="inlineStr">
        <is>
          <t>Gender, conflict and migration / editor, Navnita Chadha Behera.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L514" t="inlineStr">
        <is>
          <t>New Delhi ; Thousand Oaks, Calif. ; London : SAGE Publications, 2006.</t>
        </is>
      </c>
      <c r="M514" t="inlineStr">
        <is>
          <t>2006</t>
        </is>
      </c>
      <c r="O514" t="inlineStr">
        <is>
          <t>eng</t>
        </is>
      </c>
      <c r="P514" t="inlineStr">
        <is>
          <t xml:space="preserve">ii </t>
        </is>
      </c>
      <c r="Q514" t="inlineStr">
        <is>
          <t>Women and migration in Asia ; v. 3</t>
        </is>
      </c>
      <c r="R514" t="inlineStr">
        <is>
          <t xml:space="preserve">HV </t>
        </is>
      </c>
      <c r="S514" t="n">
        <v>1</v>
      </c>
      <c r="T514" t="n">
        <v>1</v>
      </c>
      <c r="U514" t="inlineStr">
        <is>
          <t>2007-10-29</t>
        </is>
      </c>
      <c r="V514" t="inlineStr">
        <is>
          <t>2007-10-29</t>
        </is>
      </c>
      <c r="W514" t="inlineStr">
        <is>
          <t>2007-10-29</t>
        </is>
      </c>
      <c r="X514" t="inlineStr">
        <is>
          <t>2007-10-29</t>
        </is>
      </c>
      <c r="Y514" t="n">
        <v>362</v>
      </c>
      <c r="Z514" t="n">
        <v>249</v>
      </c>
      <c r="AA514" t="n">
        <v>255</v>
      </c>
      <c r="AB514" t="n">
        <v>2</v>
      </c>
      <c r="AC514" t="n">
        <v>2</v>
      </c>
      <c r="AD514" t="n">
        <v>12</v>
      </c>
      <c r="AE514" t="n">
        <v>12</v>
      </c>
      <c r="AF514" t="n">
        <v>5</v>
      </c>
      <c r="AG514" t="n">
        <v>5</v>
      </c>
      <c r="AH514" t="n">
        <v>6</v>
      </c>
      <c r="AI514" t="n">
        <v>6</v>
      </c>
      <c r="AJ514" t="n">
        <v>4</v>
      </c>
      <c r="AK514" t="n">
        <v>4</v>
      </c>
      <c r="AL514" t="n">
        <v>1</v>
      </c>
      <c r="AM514" t="n">
        <v>1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HYPERLINK("https://creighton-primo.hosted.exlibrisgroup.com/primo-explore/search?tab=default_tab&amp;search_scope=EVERYTHING&amp;vid=01CRU&amp;lang=en_US&amp;offset=0&amp;query=any,contains,991005131859702656","Catalog Record")</f>
        <v/>
      </c>
      <c r="AT514">
        <f>HYPERLINK("http://www.worldcat.org/oclc/62679817","WorldCat Record")</f>
        <v/>
      </c>
      <c r="AU514" t="inlineStr">
        <is>
          <t>57277122:eng</t>
        </is>
      </c>
      <c r="AV514" t="inlineStr">
        <is>
          <t>62679817</t>
        </is>
      </c>
      <c r="AW514" t="inlineStr">
        <is>
          <t>991005131859702656</t>
        </is>
      </c>
      <c r="AX514" t="inlineStr">
        <is>
          <t>991005131859702656</t>
        </is>
      </c>
      <c r="AY514" t="inlineStr">
        <is>
          <t>2267391910002656</t>
        </is>
      </c>
      <c r="AZ514" t="inlineStr">
        <is>
          <t>BOOK</t>
        </is>
      </c>
      <c r="BB514" t="inlineStr">
        <is>
          <t>9780761934547</t>
        </is>
      </c>
      <c r="BC514" t="inlineStr">
        <is>
          <t>32285005362610</t>
        </is>
      </c>
      <c r="BD514" t="inlineStr">
        <is>
          <t>893619501</t>
        </is>
      </c>
    </row>
    <row r="515">
      <c r="A515" t="inlineStr">
        <is>
          <t>No</t>
        </is>
      </c>
      <c r="B515" t="inlineStr">
        <is>
          <t>HV640.4.U54 C37 1997</t>
        </is>
      </c>
      <c r="C515" t="inlineStr">
        <is>
          <t>0                      HV 0640400U  54                 C  37          1997</t>
        </is>
      </c>
      <c r="D515" t="inlineStr">
        <is>
          <t>Case studies in diversity : refugees in America in the 1990s / edited by David W. Haines.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L515" t="inlineStr">
        <is>
          <t>Westport, Conn. : Praeger, 1997.</t>
        </is>
      </c>
      <c r="M515" t="inlineStr">
        <is>
          <t>1997</t>
        </is>
      </c>
      <c r="O515" t="inlineStr">
        <is>
          <t>eng</t>
        </is>
      </c>
      <c r="P515" t="inlineStr">
        <is>
          <t>ctu</t>
        </is>
      </c>
      <c r="R515" t="inlineStr">
        <is>
          <t xml:space="preserve">HV </t>
        </is>
      </c>
      <c r="S515" t="n">
        <v>8</v>
      </c>
      <c r="T515" t="n">
        <v>8</v>
      </c>
      <c r="U515" t="inlineStr">
        <is>
          <t>2010-02-11</t>
        </is>
      </c>
      <c r="V515" t="inlineStr">
        <is>
          <t>2010-02-11</t>
        </is>
      </c>
      <c r="W515" t="inlineStr">
        <is>
          <t>2002-01-15</t>
        </is>
      </c>
      <c r="X515" t="inlineStr">
        <is>
          <t>2002-01-15</t>
        </is>
      </c>
      <c r="Y515" t="n">
        <v>168</v>
      </c>
      <c r="Z515" t="n">
        <v>154</v>
      </c>
      <c r="AA515" t="n">
        <v>157</v>
      </c>
      <c r="AB515" t="n">
        <v>2</v>
      </c>
      <c r="AC515" t="n">
        <v>2</v>
      </c>
      <c r="AD515" t="n">
        <v>10</v>
      </c>
      <c r="AE515" t="n">
        <v>10</v>
      </c>
      <c r="AF515" t="n">
        <v>1</v>
      </c>
      <c r="AG515" t="n">
        <v>1</v>
      </c>
      <c r="AH515" t="n">
        <v>3</v>
      </c>
      <c r="AI515" t="n">
        <v>3</v>
      </c>
      <c r="AJ515" t="n">
        <v>7</v>
      </c>
      <c r="AK515" t="n">
        <v>7</v>
      </c>
      <c r="AL515" t="n">
        <v>1</v>
      </c>
      <c r="AM515" t="n">
        <v>1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HYPERLINK("http://catalog.hathitrust.org/Record/003148566","HathiTrust Record")</f>
        <v/>
      </c>
      <c r="AS515">
        <f>HYPERLINK("https://creighton-primo.hosted.exlibrisgroup.com/primo-explore/search?tab=default_tab&amp;search_scope=EVERYTHING&amp;vid=01CRU&amp;lang=en_US&amp;offset=0&amp;query=any,contains,991003662319702656","Catalog Record")</f>
        <v/>
      </c>
      <c r="AT515">
        <f>HYPERLINK("http://www.worldcat.org/oclc/35646529","WorldCat Record")</f>
        <v/>
      </c>
      <c r="AU515" t="inlineStr">
        <is>
          <t>837019098:eng</t>
        </is>
      </c>
      <c r="AV515" t="inlineStr">
        <is>
          <t>35646529</t>
        </is>
      </c>
      <c r="AW515" t="inlineStr">
        <is>
          <t>991003662319702656</t>
        </is>
      </c>
      <c r="AX515" t="inlineStr">
        <is>
          <t>991003662319702656</t>
        </is>
      </c>
      <c r="AY515" t="inlineStr">
        <is>
          <t>2259442880002656</t>
        </is>
      </c>
      <c r="AZ515" t="inlineStr">
        <is>
          <t>BOOK</t>
        </is>
      </c>
      <c r="BB515" t="inlineStr">
        <is>
          <t>9780275958046</t>
        </is>
      </c>
      <c r="BC515" t="inlineStr">
        <is>
          <t>32285004448477</t>
        </is>
      </c>
      <c r="BD515" t="inlineStr">
        <is>
          <t>893525075</t>
        </is>
      </c>
    </row>
    <row r="516">
      <c r="A516" t="inlineStr">
        <is>
          <t>No</t>
        </is>
      </c>
      <c r="B516" t="inlineStr">
        <is>
          <t>HV640.4.U54 M54 1998</t>
        </is>
      </c>
      <c r="C516" t="inlineStr">
        <is>
          <t>0                      HV 0640400U  54                 M  54          1998</t>
        </is>
      </c>
      <c r="D516" t="inlineStr">
        <is>
          <t>Immigrants &amp; refugees : create your new life in America / Raimonda Mikatavage.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Mikatavage, Raimonda, 1962-</t>
        </is>
      </c>
      <c r="L516" t="inlineStr">
        <is>
          <t>Hampstead, MD : Melodija Books, 1998.</t>
        </is>
      </c>
      <c r="M516" t="inlineStr">
        <is>
          <t>1998</t>
        </is>
      </c>
      <c r="N516" t="inlineStr">
        <is>
          <t>2nd rev. ed.</t>
        </is>
      </c>
      <c r="O516" t="inlineStr">
        <is>
          <t>eng</t>
        </is>
      </c>
      <c r="P516" t="inlineStr">
        <is>
          <t>mdu</t>
        </is>
      </c>
      <c r="Q516" t="inlineStr">
        <is>
          <t>Pioneer living series</t>
        </is>
      </c>
      <c r="R516" t="inlineStr">
        <is>
          <t xml:space="preserve">HV </t>
        </is>
      </c>
      <c r="S516" t="n">
        <v>5</v>
      </c>
      <c r="T516" t="n">
        <v>5</v>
      </c>
      <c r="U516" t="inlineStr">
        <is>
          <t>2010-04-26</t>
        </is>
      </c>
      <c r="V516" t="inlineStr">
        <is>
          <t>2010-04-26</t>
        </is>
      </c>
      <c r="W516" t="inlineStr">
        <is>
          <t>1998-10-06</t>
        </is>
      </c>
      <c r="X516" t="inlineStr">
        <is>
          <t>1998-10-06</t>
        </is>
      </c>
      <c r="Y516" t="n">
        <v>153</v>
      </c>
      <c r="Z516" t="n">
        <v>149</v>
      </c>
      <c r="AA516" t="n">
        <v>158</v>
      </c>
      <c r="AB516" t="n">
        <v>3</v>
      </c>
      <c r="AC516" t="n">
        <v>3</v>
      </c>
      <c r="AD516" t="n">
        <v>1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HYPERLINK("http://catalog.hathitrust.org/Record/003303899","HathiTrust Record")</f>
        <v/>
      </c>
      <c r="AS516">
        <f>HYPERLINK("https://creighton-primo.hosted.exlibrisgroup.com/primo-explore/search?tab=default_tab&amp;search_scope=EVERYTHING&amp;vid=01CRU&amp;lang=en_US&amp;offset=0&amp;query=any,contains,991002951049702656","Catalog Record")</f>
        <v/>
      </c>
      <c r="AT516">
        <f>HYPERLINK("http://www.worldcat.org/oclc/39328353","WorldCat Record")</f>
        <v/>
      </c>
      <c r="AU516" t="inlineStr">
        <is>
          <t>1151894654:eng</t>
        </is>
      </c>
      <c r="AV516" t="inlineStr">
        <is>
          <t>39328353</t>
        </is>
      </c>
      <c r="AW516" t="inlineStr">
        <is>
          <t>991002951049702656</t>
        </is>
      </c>
      <c r="AX516" t="inlineStr">
        <is>
          <t>991002951049702656</t>
        </is>
      </c>
      <c r="AY516" t="inlineStr">
        <is>
          <t>2270979500002656</t>
        </is>
      </c>
      <c r="AZ516" t="inlineStr">
        <is>
          <t>BOOK</t>
        </is>
      </c>
      <c r="BB516" t="inlineStr">
        <is>
          <t>9780964721357</t>
        </is>
      </c>
      <c r="BC516" t="inlineStr">
        <is>
          <t>32285003472437</t>
        </is>
      </c>
      <c r="BD516" t="inlineStr">
        <is>
          <t>893511400</t>
        </is>
      </c>
    </row>
    <row r="517">
      <c r="A517" t="inlineStr">
        <is>
          <t>No</t>
        </is>
      </c>
      <c r="B517" t="inlineStr">
        <is>
          <t>HV640.4.U54 S34 1997</t>
        </is>
      </c>
      <c r="C517" t="inlineStr">
        <is>
          <t>0                      HV 0640400U  54                 S  34          1997</t>
        </is>
      </c>
      <c r="D517" t="inlineStr">
        <is>
          <t>Strengthening refugee families : designing programs for refugee and other families in need / Daniel Scheinfeld and Lorraine B. Wallach, with Trudi Langendorf.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Scheinfeld, Daniel, 1933-</t>
        </is>
      </c>
      <c r="L517" t="inlineStr">
        <is>
          <t>Chicago, Ill. : Lyceum Books, c1997.</t>
        </is>
      </c>
      <c r="M517" t="inlineStr">
        <is>
          <t>1997</t>
        </is>
      </c>
      <c r="O517" t="inlineStr">
        <is>
          <t>eng</t>
        </is>
      </c>
      <c r="P517" t="inlineStr">
        <is>
          <t>ilu</t>
        </is>
      </c>
      <c r="R517" t="inlineStr">
        <is>
          <t xml:space="preserve">HV </t>
        </is>
      </c>
      <c r="S517" t="n">
        <v>3</v>
      </c>
      <c r="T517" t="n">
        <v>3</v>
      </c>
      <c r="U517" t="inlineStr">
        <is>
          <t>2004-09-21</t>
        </is>
      </c>
      <c r="V517" t="inlineStr">
        <is>
          <t>2004-09-21</t>
        </is>
      </c>
      <c r="W517" t="inlineStr">
        <is>
          <t>2001-01-08</t>
        </is>
      </c>
      <c r="X517" t="inlineStr">
        <is>
          <t>2001-01-08</t>
        </is>
      </c>
      <c r="Y517" t="n">
        <v>165</v>
      </c>
      <c r="Z517" t="n">
        <v>151</v>
      </c>
      <c r="AA517" t="n">
        <v>154</v>
      </c>
      <c r="AB517" t="n">
        <v>3</v>
      </c>
      <c r="AC517" t="n">
        <v>3</v>
      </c>
      <c r="AD517" t="n">
        <v>5</v>
      </c>
      <c r="AE517" t="n">
        <v>5</v>
      </c>
      <c r="AF517" t="n">
        <v>0</v>
      </c>
      <c r="AG517" t="n">
        <v>0</v>
      </c>
      <c r="AH517" t="n">
        <v>1</v>
      </c>
      <c r="AI517" t="n">
        <v>1</v>
      </c>
      <c r="AJ517" t="n">
        <v>3</v>
      </c>
      <c r="AK517" t="n">
        <v>3</v>
      </c>
      <c r="AL517" t="n">
        <v>2</v>
      </c>
      <c r="AM517" t="n">
        <v>2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HYPERLINK("http://catalog.hathitrust.org/Record/003941591","HathiTrust Record")</f>
        <v/>
      </c>
      <c r="AS517">
        <f>HYPERLINK("https://creighton-primo.hosted.exlibrisgroup.com/primo-explore/search?tab=default_tab&amp;search_scope=EVERYTHING&amp;vid=01CRU&amp;lang=en_US&amp;offset=0&amp;query=any,contains,991003330469702656","Catalog Record")</f>
        <v/>
      </c>
      <c r="AT517">
        <f>HYPERLINK("http://www.worldcat.org/oclc/36351480","WorldCat Record")</f>
        <v/>
      </c>
      <c r="AU517" t="inlineStr">
        <is>
          <t>655641:eng</t>
        </is>
      </c>
      <c r="AV517" t="inlineStr">
        <is>
          <t>36351480</t>
        </is>
      </c>
      <c r="AW517" t="inlineStr">
        <is>
          <t>991003330469702656</t>
        </is>
      </c>
      <c r="AX517" t="inlineStr">
        <is>
          <t>991003330469702656</t>
        </is>
      </c>
      <c r="AY517" t="inlineStr">
        <is>
          <t>2263037120002656</t>
        </is>
      </c>
      <c r="AZ517" t="inlineStr">
        <is>
          <t>BOOK</t>
        </is>
      </c>
      <c r="BB517" t="inlineStr">
        <is>
          <t>9780925065131</t>
        </is>
      </c>
      <c r="BC517" t="inlineStr">
        <is>
          <t>32285004280961</t>
        </is>
      </c>
      <c r="BD517" t="inlineStr">
        <is>
          <t>893410182</t>
        </is>
      </c>
    </row>
    <row r="518">
      <c r="A518" t="inlineStr">
        <is>
          <t>No</t>
        </is>
      </c>
      <c r="B518" t="inlineStr">
        <is>
          <t>HV640.4.U54 T65 1989</t>
        </is>
      </c>
      <c r="C518" t="inlineStr">
        <is>
          <t>0                      HV 0640400U  54                 T  65          1989</t>
        </is>
      </c>
      <c r="D518" t="inlineStr">
        <is>
          <t>Alien winds : the reeducation of America's Indochinese refugees / James W. Tollefson.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Tollefson, James W.</t>
        </is>
      </c>
      <c r="L518" t="inlineStr">
        <is>
          <t>New York : Praeger, 1989.</t>
        </is>
      </c>
      <c r="M518" t="inlineStr">
        <is>
          <t>1989</t>
        </is>
      </c>
      <c r="O518" t="inlineStr">
        <is>
          <t>eng</t>
        </is>
      </c>
      <c r="P518" t="inlineStr">
        <is>
          <t>nyu</t>
        </is>
      </c>
      <c r="R518" t="inlineStr">
        <is>
          <t xml:space="preserve">HV </t>
        </is>
      </c>
      <c r="S518" t="n">
        <v>5</v>
      </c>
      <c r="T518" t="n">
        <v>5</v>
      </c>
      <c r="U518" t="inlineStr">
        <is>
          <t>2004-09-24</t>
        </is>
      </c>
      <c r="V518" t="inlineStr">
        <is>
          <t>2004-09-24</t>
        </is>
      </c>
      <c r="W518" t="inlineStr">
        <is>
          <t>1989-11-07</t>
        </is>
      </c>
      <c r="X518" t="inlineStr">
        <is>
          <t>1989-11-07</t>
        </is>
      </c>
      <c r="Y518" t="n">
        <v>328</v>
      </c>
      <c r="Z518" t="n">
        <v>289</v>
      </c>
      <c r="AA518" t="n">
        <v>296</v>
      </c>
      <c r="AB518" t="n">
        <v>3</v>
      </c>
      <c r="AC518" t="n">
        <v>3</v>
      </c>
      <c r="AD518" t="n">
        <v>16</v>
      </c>
      <c r="AE518" t="n">
        <v>16</v>
      </c>
      <c r="AF518" t="n">
        <v>6</v>
      </c>
      <c r="AG518" t="n">
        <v>6</v>
      </c>
      <c r="AH518" t="n">
        <v>4</v>
      </c>
      <c r="AI518" t="n">
        <v>4</v>
      </c>
      <c r="AJ518" t="n">
        <v>9</v>
      </c>
      <c r="AK518" t="n">
        <v>9</v>
      </c>
      <c r="AL518" t="n">
        <v>2</v>
      </c>
      <c r="AM518" t="n">
        <v>2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HYPERLINK("http://catalog.hathitrust.org/Record/001538718","HathiTrust Record")</f>
        <v/>
      </c>
      <c r="AS518">
        <f>HYPERLINK("https://creighton-primo.hosted.exlibrisgroup.com/primo-explore/search?tab=default_tab&amp;search_scope=EVERYTHING&amp;vid=01CRU&amp;lang=en_US&amp;offset=0&amp;query=any,contains,991001386039702656","Catalog Record")</f>
        <v/>
      </c>
      <c r="AT518">
        <f>HYPERLINK("http://www.worldcat.org/oclc/18715915","WorldCat Record")</f>
        <v/>
      </c>
      <c r="AU518" t="inlineStr">
        <is>
          <t>836736756:eng</t>
        </is>
      </c>
      <c r="AV518" t="inlineStr">
        <is>
          <t>18715915</t>
        </is>
      </c>
      <c r="AW518" t="inlineStr">
        <is>
          <t>991001386039702656</t>
        </is>
      </c>
      <c r="AX518" t="inlineStr">
        <is>
          <t>991001386039702656</t>
        </is>
      </c>
      <c r="AY518" t="inlineStr">
        <is>
          <t>2262826600002656</t>
        </is>
      </c>
      <c r="AZ518" t="inlineStr">
        <is>
          <t>BOOK</t>
        </is>
      </c>
      <c r="BB518" t="inlineStr">
        <is>
          <t>9780275932251</t>
        </is>
      </c>
      <c r="BC518" t="inlineStr">
        <is>
          <t>32285000012095</t>
        </is>
      </c>
      <c r="BD518" t="inlineStr">
        <is>
          <t>893244099</t>
        </is>
      </c>
    </row>
    <row r="519">
      <c r="A519" t="inlineStr">
        <is>
          <t>No</t>
        </is>
      </c>
      <c r="B519" t="inlineStr">
        <is>
          <t>HV640.5.A6 B8</t>
        </is>
      </c>
      <c r="C519" t="inlineStr">
        <is>
          <t>0                      HV 0640500A  6                  B  8</t>
        </is>
      </c>
      <c r="D519" t="inlineStr">
        <is>
          <t>The UN and the Palestinian refugees : a study in nonterritorial administration / [by] Edward H. Buehrig.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Buehrig, Edward H. (Edward Henry), 1910-1986.</t>
        </is>
      </c>
      <c r="L519" t="inlineStr">
        <is>
          <t>Bloomington : Indiana University Press, [1971]</t>
        </is>
      </c>
      <c r="M519" t="inlineStr">
        <is>
          <t>1971</t>
        </is>
      </c>
      <c r="O519" t="inlineStr">
        <is>
          <t>eng</t>
        </is>
      </c>
      <c r="P519" t="inlineStr">
        <is>
          <t>inu</t>
        </is>
      </c>
      <c r="Q519" t="inlineStr">
        <is>
          <t>Indiana University. International Development Research Center. Studies in development, no. 3</t>
        </is>
      </c>
      <c r="R519" t="inlineStr">
        <is>
          <t xml:space="preserve">HV </t>
        </is>
      </c>
      <c r="S519" t="n">
        <v>1</v>
      </c>
      <c r="T519" t="n">
        <v>1</v>
      </c>
      <c r="U519" t="inlineStr">
        <is>
          <t>2004-03-31</t>
        </is>
      </c>
      <c r="V519" t="inlineStr">
        <is>
          <t>2004-03-31</t>
        </is>
      </c>
      <c r="W519" t="inlineStr">
        <is>
          <t>1993-11-11</t>
        </is>
      </c>
      <c r="X519" t="inlineStr">
        <is>
          <t>1993-11-11</t>
        </is>
      </c>
      <c r="Y519" t="n">
        <v>572</v>
      </c>
      <c r="Z519" t="n">
        <v>470</v>
      </c>
      <c r="AA519" t="n">
        <v>476</v>
      </c>
      <c r="AB519" t="n">
        <v>5</v>
      </c>
      <c r="AC519" t="n">
        <v>5</v>
      </c>
      <c r="AD519" t="n">
        <v>24</v>
      </c>
      <c r="AE519" t="n">
        <v>24</v>
      </c>
      <c r="AF519" t="n">
        <v>8</v>
      </c>
      <c r="AG519" t="n">
        <v>8</v>
      </c>
      <c r="AH519" t="n">
        <v>8</v>
      </c>
      <c r="AI519" t="n">
        <v>8</v>
      </c>
      <c r="AJ519" t="n">
        <v>9</v>
      </c>
      <c r="AK519" t="n">
        <v>9</v>
      </c>
      <c r="AL519" t="n">
        <v>4</v>
      </c>
      <c r="AM519" t="n">
        <v>4</v>
      </c>
      <c r="AN519" t="n">
        <v>1</v>
      </c>
      <c r="AO519" t="n">
        <v>1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HYPERLINK("https://creighton-primo.hosted.exlibrisgroup.com/primo-explore/search?tab=default_tab&amp;search_scope=EVERYTHING&amp;vid=01CRU&amp;lang=en_US&amp;offset=0&amp;query=any,contains,991001256539702656","Catalog Record")</f>
        <v/>
      </c>
      <c r="AT519">
        <f>HYPERLINK("http://www.worldcat.org/oclc/209123","WorldCat Record")</f>
        <v/>
      </c>
      <c r="AU519" t="inlineStr">
        <is>
          <t>1279168:eng</t>
        </is>
      </c>
      <c r="AV519" t="inlineStr">
        <is>
          <t>209123</t>
        </is>
      </c>
      <c r="AW519" t="inlineStr">
        <is>
          <t>991001256539702656</t>
        </is>
      </c>
      <c r="AX519" t="inlineStr">
        <is>
          <t>991001256539702656</t>
        </is>
      </c>
      <c r="AY519" t="inlineStr">
        <is>
          <t>2270694410002656</t>
        </is>
      </c>
      <c r="AZ519" t="inlineStr">
        <is>
          <t>BOOK</t>
        </is>
      </c>
      <c r="BB519" t="inlineStr">
        <is>
          <t>9780253396037</t>
        </is>
      </c>
      <c r="BC519" t="inlineStr">
        <is>
          <t>32285001798205</t>
        </is>
      </c>
      <c r="BD519" t="inlineStr">
        <is>
          <t>893602472</t>
        </is>
      </c>
    </row>
    <row r="520">
      <c r="A520" t="inlineStr">
        <is>
          <t>No</t>
        </is>
      </c>
      <c r="B520" t="inlineStr">
        <is>
          <t>HV640.5.A6 M67 1987</t>
        </is>
      </c>
      <c r="C520" t="inlineStr">
        <is>
          <t>0                      HV 0640500A  6                  M  67          1987</t>
        </is>
      </c>
      <c r="D520" t="inlineStr">
        <is>
          <t>The birth of the Palestinian refugee problem, 1947-1949 / Benny Morris.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Morris, Benny, 1948-</t>
        </is>
      </c>
      <c r="L520" t="inlineStr">
        <is>
          <t>Cambridge [Cambridgeshire] ; New York : Cambridge University Press, c1987, 1988 printing.</t>
        </is>
      </c>
      <c r="M520" t="inlineStr">
        <is>
          <t>1987</t>
        </is>
      </c>
      <c r="O520" t="inlineStr">
        <is>
          <t>eng</t>
        </is>
      </c>
      <c r="P520" t="inlineStr">
        <is>
          <t>enk</t>
        </is>
      </c>
      <c r="Q520" t="inlineStr">
        <is>
          <t>Cambridge Middle East library</t>
        </is>
      </c>
      <c r="R520" t="inlineStr">
        <is>
          <t xml:space="preserve">HV </t>
        </is>
      </c>
      <c r="S520" t="n">
        <v>6</v>
      </c>
      <c r="T520" t="n">
        <v>6</v>
      </c>
      <c r="U520" t="inlineStr">
        <is>
          <t>2004-03-31</t>
        </is>
      </c>
      <c r="V520" t="inlineStr">
        <is>
          <t>2004-03-31</t>
        </is>
      </c>
      <c r="W520" t="inlineStr">
        <is>
          <t>1991-11-19</t>
        </is>
      </c>
      <c r="X520" t="inlineStr">
        <is>
          <t>1991-11-19</t>
        </is>
      </c>
      <c r="Y520" t="n">
        <v>824</v>
      </c>
      <c r="Z520" t="n">
        <v>663</v>
      </c>
      <c r="AA520" t="n">
        <v>779</v>
      </c>
      <c r="AB520" t="n">
        <v>2</v>
      </c>
      <c r="AC520" t="n">
        <v>3</v>
      </c>
      <c r="AD520" t="n">
        <v>25</v>
      </c>
      <c r="AE520" t="n">
        <v>33</v>
      </c>
      <c r="AF520" t="n">
        <v>10</v>
      </c>
      <c r="AG520" t="n">
        <v>13</v>
      </c>
      <c r="AH520" t="n">
        <v>7</v>
      </c>
      <c r="AI520" t="n">
        <v>10</v>
      </c>
      <c r="AJ520" t="n">
        <v>14</v>
      </c>
      <c r="AK520" t="n">
        <v>17</v>
      </c>
      <c r="AL520" t="n">
        <v>1</v>
      </c>
      <c r="AM520" t="n">
        <v>2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S520">
        <f>HYPERLINK("https://creighton-primo.hosted.exlibrisgroup.com/primo-explore/search?tab=default_tab&amp;search_scope=EVERYTHING&amp;vid=01CRU&amp;lang=en_US&amp;offset=0&amp;query=any,contains,991001079579702656","Catalog Record")</f>
        <v/>
      </c>
      <c r="AT520">
        <f>HYPERLINK("http://www.worldcat.org/oclc/16084062","WorldCat Record")</f>
        <v/>
      </c>
      <c r="AU520" t="inlineStr">
        <is>
          <t>11593787:eng</t>
        </is>
      </c>
      <c r="AV520" t="inlineStr">
        <is>
          <t>16084062</t>
        </is>
      </c>
      <c r="AW520" t="inlineStr">
        <is>
          <t>991001079579702656</t>
        </is>
      </c>
      <c r="AX520" t="inlineStr">
        <is>
          <t>991001079579702656</t>
        </is>
      </c>
      <c r="AY520" t="inlineStr">
        <is>
          <t>2258643530002656</t>
        </is>
      </c>
      <c r="AZ520" t="inlineStr">
        <is>
          <t>BOOK</t>
        </is>
      </c>
      <c r="BB520" t="inlineStr">
        <is>
          <t>9780521330282</t>
        </is>
      </c>
      <c r="BC520" t="inlineStr">
        <is>
          <t>32285000841055</t>
        </is>
      </c>
      <c r="BD520" t="inlineStr">
        <is>
          <t>893872257</t>
        </is>
      </c>
    </row>
    <row r="521">
      <c r="A521" t="inlineStr">
        <is>
          <t>No</t>
        </is>
      </c>
      <c r="B521" t="inlineStr">
        <is>
          <t>HV640.5.C9 M35 1996</t>
        </is>
      </c>
      <c r="C521" t="inlineStr">
        <is>
          <t>0                      HV 0640500C  9                  M  35          1996</t>
        </is>
      </c>
      <c r="D521" t="inlineStr">
        <is>
          <t>From welcomed exiles to illegal immigrants : Cuban migration to the U.S., 1959-1995/ by Felix Roberto Masud-Piloto.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Masud-Piloto, Felix Roberto.</t>
        </is>
      </c>
      <c r="L521" t="inlineStr">
        <is>
          <t>Lanham, Md. : Rowman &amp; Littlefield, 1996.</t>
        </is>
      </c>
      <c r="M521" t="inlineStr">
        <is>
          <t>1996</t>
        </is>
      </c>
      <c r="O521" t="inlineStr">
        <is>
          <t>eng</t>
        </is>
      </c>
      <c r="P521" t="inlineStr">
        <is>
          <t>mdu</t>
        </is>
      </c>
      <c r="R521" t="inlineStr">
        <is>
          <t xml:space="preserve">HV </t>
        </is>
      </c>
      <c r="S521" t="n">
        <v>19</v>
      </c>
      <c r="T521" t="n">
        <v>19</v>
      </c>
      <c r="U521" t="inlineStr">
        <is>
          <t>2010-04-19</t>
        </is>
      </c>
      <c r="V521" t="inlineStr">
        <is>
          <t>2010-04-19</t>
        </is>
      </c>
      <c r="W521" t="inlineStr">
        <is>
          <t>1996-03-01</t>
        </is>
      </c>
      <c r="X521" t="inlineStr">
        <is>
          <t>1996-03-01</t>
        </is>
      </c>
      <c r="Y521" t="n">
        <v>406</v>
      </c>
      <c r="Z521" t="n">
        <v>361</v>
      </c>
      <c r="AA521" t="n">
        <v>518</v>
      </c>
      <c r="AB521" t="n">
        <v>3</v>
      </c>
      <c r="AC521" t="n">
        <v>3</v>
      </c>
      <c r="AD521" t="n">
        <v>14</v>
      </c>
      <c r="AE521" t="n">
        <v>17</v>
      </c>
      <c r="AF521" t="n">
        <v>4</v>
      </c>
      <c r="AG521" t="n">
        <v>5</v>
      </c>
      <c r="AH521" t="n">
        <v>5</v>
      </c>
      <c r="AI521" t="n">
        <v>5</v>
      </c>
      <c r="AJ521" t="n">
        <v>6</v>
      </c>
      <c r="AK521" t="n">
        <v>8</v>
      </c>
      <c r="AL521" t="n">
        <v>2</v>
      </c>
      <c r="AM521" t="n">
        <v>2</v>
      </c>
      <c r="AN521" t="n">
        <v>1</v>
      </c>
      <c r="AO521" t="n">
        <v>1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HYPERLINK("http://catalog.hathitrust.org/Record/003040241","HathiTrust Record")</f>
        <v/>
      </c>
      <c r="AS521">
        <f>HYPERLINK("https://creighton-primo.hosted.exlibrisgroup.com/primo-explore/search?tab=default_tab&amp;search_scope=EVERYTHING&amp;vid=01CRU&amp;lang=en_US&amp;offset=0&amp;query=any,contains,991002560099702656","Catalog Record")</f>
        <v/>
      </c>
      <c r="AT521">
        <f>HYPERLINK("http://www.worldcat.org/oclc/33277000","WorldCat Record")</f>
        <v/>
      </c>
      <c r="AU521" t="inlineStr">
        <is>
          <t>1027897:eng</t>
        </is>
      </c>
      <c r="AV521" t="inlineStr">
        <is>
          <t>33277000</t>
        </is>
      </c>
      <c r="AW521" t="inlineStr">
        <is>
          <t>991002560099702656</t>
        </is>
      </c>
      <c r="AX521" t="inlineStr">
        <is>
          <t>991002560099702656</t>
        </is>
      </c>
      <c r="AY521" t="inlineStr">
        <is>
          <t>2258078460002656</t>
        </is>
      </c>
      <c r="AZ521" t="inlineStr">
        <is>
          <t>BOOK</t>
        </is>
      </c>
      <c r="BB521" t="inlineStr">
        <is>
          <t>9780847681488</t>
        </is>
      </c>
      <c r="BC521" t="inlineStr">
        <is>
          <t>32285002138914</t>
        </is>
      </c>
      <c r="BD521" t="inlineStr">
        <is>
          <t>893409236</t>
        </is>
      </c>
    </row>
    <row r="522">
      <c r="A522" t="inlineStr">
        <is>
          <t>No</t>
        </is>
      </c>
      <c r="B522" t="inlineStr">
        <is>
          <t>HV640.5.S9 R65 1985</t>
        </is>
      </c>
      <c r="C522" t="inlineStr">
        <is>
          <t>0                      HV 0640500S  9                  R  65          1985</t>
        </is>
      </c>
      <c r="D522" t="inlineStr">
        <is>
          <t>Too many, too long : Sudan's twenty-year refugee dilemma / John R. Rogge.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Rogge, John.</t>
        </is>
      </c>
      <c r="L522" t="inlineStr">
        <is>
          <t>Totowa, NJ : Rowman &amp; Allanheld, 1985.</t>
        </is>
      </c>
      <c r="M522" t="inlineStr">
        <is>
          <t>1985</t>
        </is>
      </c>
      <c r="O522" t="inlineStr">
        <is>
          <t>eng</t>
        </is>
      </c>
      <c r="P522" t="inlineStr">
        <is>
          <t>nju</t>
        </is>
      </c>
      <c r="R522" t="inlineStr">
        <is>
          <t xml:space="preserve">HV </t>
        </is>
      </c>
      <c r="S522" t="n">
        <v>7</v>
      </c>
      <c r="T522" t="n">
        <v>7</v>
      </c>
      <c r="U522" t="inlineStr">
        <is>
          <t>2005-02-14</t>
        </is>
      </c>
      <c r="V522" t="inlineStr">
        <is>
          <t>2005-02-14</t>
        </is>
      </c>
      <c r="W522" t="inlineStr">
        <is>
          <t>1993-05-18</t>
        </is>
      </c>
      <c r="X522" t="inlineStr">
        <is>
          <t>1993-05-18</t>
        </is>
      </c>
      <c r="Y522" t="n">
        <v>368</v>
      </c>
      <c r="Z522" t="n">
        <v>296</v>
      </c>
      <c r="AA522" t="n">
        <v>297</v>
      </c>
      <c r="AB522" t="n">
        <v>4</v>
      </c>
      <c r="AC522" t="n">
        <v>4</v>
      </c>
      <c r="AD522" t="n">
        <v>12</v>
      </c>
      <c r="AE522" t="n">
        <v>12</v>
      </c>
      <c r="AF522" t="n">
        <v>2</v>
      </c>
      <c r="AG522" t="n">
        <v>2</v>
      </c>
      <c r="AH522" t="n">
        <v>3</v>
      </c>
      <c r="AI522" t="n">
        <v>3</v>
      </c>
      <c r="AJ522" t="n">
        <v>5</v>
      </c>
      <c r="AK522" t="n">
        <v>5</v>
      </c>
      <c r="AL522" t="n">
        <v>3</v>
      </c>
      <c r="AM522" t="n">
        <v>3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HYPERLINK("https://creighton-primo.hosted.exlibrisgroup.com/primo-explore/search?tab=default_tab&amp;search_scope=EVERYTHING&amp;vid=01CRU&amp;lang=en_US&amp;offset=0&amp;query=any,contains,991000604139702656","Catalog Record")</f>
        <v/>
      </c>
      <c r="AT522">
        <f>HYPERLINK("http://www.worldcat.org/oclc/11849274","WorldCat Record")</f>
        <v/>
      </c>
      <c r="AU522" t="inlineStr">
        <is>
          <t>308814378:eng</t>
        </is>
      </c>
      <c r="AV522" t="inlineStr">
        <is>
          <t>11849274</t>
        </is>
      </c>
      <c r="AW522" t="inlineStr">
        <is>
          <t>991000604139702656</t>
        </is>
      </c>
      <c r="AX522" t="inlineStr">
        <is>
          <t>991000604139702656</t>
        </is>
      </c>
      <c r="AY522" t="inlineStr">
        <is>
          <t>2272204180002656</t>
        </is>
      </c>
      <c r="AZ522" t="inlineStr">
        <is>
          <t>BOOK</t>
        </is>
      </c>
      <c r="BB522" t="inlineStr">
        <is>
          <t>9780847674121</t>
        </is>
      </c>
      <c r="BC522" t="inlineStr">
        <is>
          <t>32285001682078</t>
        </is>
      </c>
      <c r="BD522" t="inlineStr">
        <is>
          <t>893249500</t>
        </is>
      </c>
    </row>
    <row r="523">
      <c r="A523" t="inlineStr">
        <is>
          <t>No</t>
        </is>
      </c>
      <c r="B523" t="inlineStr">
        <is>
          <t>HV6404.I2 H55 2004</t>
        </is>
      </c>
      <c r="C523" t="inlineStr">
        <is>
          <t>0                      HV 6404000I  2                  H  55          2004</t>
        </is>
      </c>
      <c r="D523" t="inlineStr">
        <is>
          <t>The cyanide canary / Joseph Hilldorfer and Robert Dugoni.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Hilldorfer, Joseph.</t>
        </is>
      </c>
      <c r="L523" t="inlineStr">
        <is>
          <t>New York : Free Press, c2004.</t>
        </is>
      </c>
      <c r="M523" t="inlineStr">
        <is>
          <t>2004</t>
        </is>
      </c>
      <c r="O523" t="inlineStr">
        <is>
          <t>eng</t>
        </is>
      </c>
      <c r="P523" t="inlineStr">
        <is>
          <t>nyu</t>
        </is>
      </c>
      <c r="R523" t="inlineStr">
        <is>
          <t xml:space="preserve">HV </t>
        </is>
      </c>
      <c r="S523" t="n">
        <v>5</v>
      </c>
      <c r="T523" t="n">
        <v>5</v>
      </c>
      <c r="U523" t="inlineStr">
        <is>
          <t>2008-03-04</t>
        </is>
      </c>
      <c r="V523" t="inlineStr">
        <is>
          <t>2008-03-04</t>
        </is>
      </c>
      <c r="W523" t="inlineStr">
        <is>
          <t>2004-10-16</t>
        </is>
      </c>
      <c r="X523" t="inlineStr">
        <is>
          <t>2004-10-16</t>
        </is>
      </c>
      <c r="Y523" t="n">
        <v>684</v>
      </c>
      <c r="Z523" t="n">
        <v>660</v>
      </c>
      <c r="AA523" t="n">
        <v>663</v>
      </c>
      <c r="AB523" t="n">
        <v>6</v>
      </c>
      <c r="AC523" t="n">
        <v>6</v>
      </c>
      <c r="AD523" t="n">
        <v>12</v>
      </c>
      <c r="AE523" t="n">
        <v>12</v>
      </c>
      <c r="AF523" t="n">
        <v>3</v>
      </c>
      <c r="AG523" t="n">
        <v>3</v>
      </c>
      <c r="AH523" t="n">
        <v>3</v>
      </c>
      <c r="AI523" t="n">
        <v>3</v>
      </c>
      <c r="AJ523" t="n">
        <v>4</v>
      </c>
      <c r="AK523" t="n">
        <v>4</v>
      </c>
      <c r="AL523" t="n">
        <v>1</v>
      </c>
      <c r="AM523" t="n">
        <v>1</v>
      </c>
      <c r="AN523" t="n">
        <v>3</v>
      </c>
      <c r="AO523" t="n">
        <v>3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HYPERLINK("https://creighton-primo.hosted.exlibrisgroup.com/primo-explore/search?tab=default_tab&amp;search_scope=EVERYTHING&amp;vid=01CRU&amp;lang=en_US&amp;offset=0&amp;query=any,contains,991004390489702656","Catalog Record")</f>
        <v/>
      </c>
      <c r="AT523">
        <f>HYPERLINK("http://www.worldcat.org/oclc/55474030","WorldCat Record")</f>
        <v/>
      </c>
      <c r="AU523" t="inlineStr">
        <is>
          <t>943218:eng</t>
        </is>
      </c>
      <c r="AV523" t="inlineStr">
        <is>
          <t>55474030</t>
        </is>
      </c>
      <c r="AW523" t="inlineStr">
        <is>
          <t>991004390489702656</t>
        </is>
      </c>
      <c r="AX523" t="inlineStr">
        <is>
          <t>991004390489702656</t>
        </is>
      </c>
      <c r="AY523" t="inlineStr">
        <is>
          <t>2266170890002656</t>
        </is>
      </c>
      <c r="AZ523" t="inlineStr">
        <is>
          <t>BOOK</t>
        </is>
      </c>
      <c r="BB523" t="inlineStr">
        <is>
          <t>9780743246521</t>
        </is>
      </c>
      <c r="BC523" t="inlineStr">
        <is>
          <t>32285005004964</t>
        </is>
      </c>
      <c r="BD523" t="inlineStr">
        <is>
          <t>893513166</t>
        </is>
      </c>
    </row>
    <row r="524">
      <c r="A524" t="inlineStr">
        <is>
          <t>No</t>
        </is>
      </c>
      <c r="B524" t="inlineStr">
        <is>
          <t>HV6430 .B55 B474 2006</t>
        </is>
      </c>
      <c r="C524" t="inlineStr">
        <is>
          <t>0                      HV 6430000B  55                 B  474         2006</t>
        </is>
      </c>
      <c r="D524" t="inlineStr">
        <is>
          <t>The Osama bin Laden I know : an oral history of al-Qaeda's leader / Peter L. Bergen ; [with a new afterword].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Bergen, Peter L., 1962-</t>
        </is>
      </c>
      <c r="L524" t="inlineStr">
        <is>
          <t>New York : Free Press, 2006.</t>
        </is>
      </c>
      <c r="M524" t="inlineStr">
        <is>
          <t>2006</t>
        </is>
      </c>
      <c r="N524" t="inlineStr">
        <is>
          <t>1st Free Press trade pbk. ed.</t>
        </is>
      </c>
      <c r="O524" t="inlineStr">
        <is>
          <t>eng</t>
        </is>
      </c>
      <c r="P524" t="inlineStr">
        <is>
          <t>nyu</t>
        </is>
      </c>
      <c r="R524" t="inlineStr">
        <is>
          <t xml:space="preserve">HV </t>
        </is>
      </c>
      <c r="S524" t="n">
        <v>3</v>
      </c>
      <c r="T524" t="n">
        <v>3</v>
      </c>
      <c r="U524" t="inlineStr">
        <is>
          <t>2008-04-08</t>
        </is>
      </c>
      <c r="V524" t="inlineStr">
        <is>
          <t>2008-04-08</t>
        </is>
      </c>
      <c r="W524" t="inlineStr">
        <is>
          <t>2006-09-06</t>
        </is>
      </c>
      <c r="X524" t="inlineStr">
        <is>
          <t>2006-09-06</t>
        </is>
      </c>
      <c r="Y524" t="n">
        <v>194</v>
      </c>
      <c r="Z524" t="n">
        <v>162</v>
      </c>
      <c r="AA524" t="n">
        <v>1197</v>
      </c>
      <c r="AB524" t="n">
        <v>1</v>
      </c>
      <c r="AC524" t="n">
        <v>7</v>
      </c>
      <c r="AD524" t="n">
        <v>0</v>
      </c>
      <c r="AE524" t="n">
        <v>24</v>
      </c>
      <c r="AF524" t="n">
        <v>0</v>
      </c>
      <c r="AG524" t="n">
        <v>8</v>
      </c>
      <c r="AH524" t="n">
        <v>0</v>
      </c>
      <c r="AI524" t="n">
        <v>5</v>
      </c>
      <c r="AJ524" t="n">
        <v>0</v>
      </c>
      <c r="AK524" t="n">
        <v>8</v>
      </c>
      <c r="AL524" t="n">
        <v>0</v>
      </c>
      <c r="AM524" t="n">
        <v>5</v>
      </c>
      <c r="AN524" t="n">
        <v>0</v>
      </c>
      <c r="AO524" t="n">
        <v>1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HYPERLINK("https://creighton-primo.hosted.exlibrisgroup.com/primo-explore/search?tab=default_tab&amp;search_scope=EVERYTHING&amp;vid=01CRU&amp;lang=en_US&amp;offset=0&amp;query=any,contains,991004906499702656","Catalog Record")</f>
        <v/>
      </c>
      <c r="AT524">
        <f>HYPERLINK("http://www.worldcat.org/oclc/70826532","WorldCat Record")</f>
        <v/>
      </c>
      <c r="AU524" t="inlineStr">
        <is>
          <t>796420807:eng</t>
        </is>
      </c>
      <c r="AV524" t="inlineStr">
        <is>
          <t>70826532</t>
        </is>
      </c>
      <c r="AW524" t="inlineStr">
        <is>
          <t>991004906499702656</t>
        </is>
      </c>
      <c r="AX524" t="inlineStr">
        <is>
          <t>991004906499702656</t>
        </is>
      </c>
      <c r="AY524" t="inlineStr">
        <is>
          <t>2258329590002656</t>
        </is>
      </c>
      <c r="AZ524" t="inlineStr">
        <is>
          <t>BOOK</t>
        </is>
      </c>
      <c r="BB524" t="inlineStr">
        <is>
          <t>9780743278928</t>
        </is>
      </c>
      <c r="BC524" t="inlineStr">
        <is>
          <t>32285005222301</t>
        </is>
      </c>
      <c r="BD524" t="inlineStr">
        <is>
          <t>893241954</t>
        </is>
      </c>
    </row>
    <row r="525">
      <c r="A525" t="inlineStr">
        <is>
          <t>No</t>
        </is>
      </c>
      <c r="B525" t="inlineStr">
        <is>
          <t>HV6430.B55 B47 2001</t>
        </is>
      </c>
      <c r="C525" t="inlineStr">
        <is>
          <t>0                      HV 6430000B  55                 B  47          2001</t>
        </is>
      </c>
      <c r="D525" t="inlineStr">
        <is>
          <t>Holy war, Inc. : inside the secret world of Osama bin Laden / Peter L. Bergen.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Bergen, Peter L., 1962-</t>
        </is>
      </c>
      <c r="L525" t="inlineStr">
        <is>
          <t>New York : Free Press, c2001.</t>
        </is>
      </c>
      <c r="M525" t="inlineStr">
        <is>
          <t>2001</t>
        </is>
      </c>
      <c r="O525" t="inlineStr">
        <is>
          <t>eng</t>
        </is>
      </c>
      <c r="P525" t="inlineStr">
        <is>
          <t>nyu</t>
        </is>
      </c>
      <c r="R525" t="inlineStr">
        <is>
          <t xml:space="preserve">HV </t>
        </is>
      </c>
      <c r="S525" t="n">
        <v>6</v>
      </c>
      <c r="T525" t="n">
        <v>6</v>
      </c>
      <c r="U525" t="inlineStr">
        <is>
          <t>2006-05-05</t>
        </is>
      </c>
      <c r="V525" t="inlineStr">
        <is>
          <t>2006-05-05</t>
        </is>
      </c>
      <c r="W525" t="inlineStr">
        <is>
          <t>2001-12-04</t>
        </is>
      </c>
      <c r="X525" t="inlineStr">
        <is>
          <t>2001-12-04</t>
        </is>
      </c>
      <c r="Y525" t="n">
        <v>2196</v>
      </c>
      <c r="Z525" t="n">
        <v>2086</v>
      </c>
      <c r="AA525" t="n">
        <v>2773</v>
      </c>
      <c r="AB525" t="n">
        <v>24</v>
      </c>
      <c r="AC525" t="n">
        <v>30</v>
      </c>
      <c r="AD525" t="n">
        <v>50</v>
      </c>
      <c r="AE525" t="n">
        <v>60</v>
      </c>
      <c r="AF525" t="n">
        <v>22</v>
      </c>
      <c r="AG525" t="n">
        <v>25</v>
      </c>
      <c r="AH525" t="n">
        <v>8</v>
      </c>
      <c r="AI525" t="n">
        <v>10</v>
      </c>
      <c r="AJ525" t="n">
        <v>18</v>
      </c>
      <c r="AK525" t="n">
        <v>23</v>
      </c>
      <c r="AL525" t="n">
        <v>11</v>
      </c>
      <c r="AM525" t="n">
        <v>13</v>
      </c>
      <c r="AN525" t="n">
        <v>2</v>
      </c>
      <c r="AO525" t="n">
        <v>2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HYPERLINK("https://creighton-primo.hosted.exlibrisgroup.com/primo-explore/search?tab=default_tab&amp;search_scope=EVERYTHING&amp;vid=01CRU&amp;lang=en_US&amp;offset=0&amp;query=any,contains,991003682249702656","Catalog Record")</f>
        <v/>
      </c>
      <c r="AT525">
        <f>HYPERLINK("http://www.worldcat.org/oclc/48241401","WorldCat Record")</f>
        <v/>
      </c>
      <c r="AU525" t="inlineStr">
        <is>
          <t>8617914:eng</t>
        </is>
      </c>
      <c r="AV525" t="inlineStr">
        <is>
          <t>48241401</t>
        </is>
      </c>
      <c r="AW525" t="inlineStr">
        <is>
          <t>991003682249702656</t>
        </is>
      </c>
      <c r="AX525" t="inlineStr">
        <is>
          <t>991003682249702656</t>
        </is>
      </c>
      <c r="AY525" t="inlineStr">
        <is>
          <t>2258377060002656</t>
        </is>
      </c>
      <c r="AZ525" t="inlineStr">
        <is>
          <t>BOOK</t>
        </is>
      </c>
      <c r="BB525" t="inlineStr">
        <is>
          <t>9780743205023</t>
        </is>
      </c>
      <c r="BC525" t="inlineStr">
        <is>
          <t>32285004425848</t>
        </is>
      </c>
      <c r="BD525" t="inlineStr">
        <is>
          <t>893234444</t>
        </is>
      </c>
    </row>
    <row r="526">
      <c r="A526" t="inlineStr">
        <is>
          <t>No</t>
        </is>
      </c>
      <c r="B526" t="inlineStr">
        <is>
          <t>HV6430.B55 B63 2001</t>
        </is>
      </c>
      <c r="C526" t="inlineStr">
        <is>
          <t>0                      HV 6430000B  55                 B  63          2001</t>
        </is>
      </c>
      <c r="D526" t="inlineStr">
        <is>
          <t>Bin Laden : the man who declared war on America / Yossef Bodansky.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Bodansky, Yossef.</t>
        </is>
      </c>
      <c r="L526" t="inlineStr">
        <is>
          <t>Rocklin, Calif. : Forum, c2001.</t>
        </is>
      </c>
      <c r="M526" t="inlineStr">
        <is>
          <t>2001</t>
        </is>
      </c>
      <c r="O526" t="inlineStr">
        <is>
          <t>eng</t>
        </is>
      </c>
      <c r="P526" t="inlineStr">
        <is>
          <t>cau</t>
        </is>
      </c>
      <c r="R526" t="inlineStr">
        <is>
          <t xml:space="preserve">HV </t>
        </is>
      </c>
      <c r="S526" t="n">
        <v>4</v>
      </c>
      <c r="T526" t="n">
        <v>4</v>
      </c>
      <c r="U526" t="inlineStr">
        <is>
          <t>2006-04-12</t>
        </is>
      </c>
      <c r="V526" t="inlineStr">
        <is>
          <t>2006-04-12</t>
        </is>
      </c>
      <c r="W526" t="inlineStr">
        <is>
          <t>2001-11-29</t>
        </is>
      </c>
      <c r="X526" t="inlineStr">
        <is>
          <t>2001-11-29</t>
        </is>
      </c>
      <c r="Y526" t="n">
        <v>1267</v>
      </c>
      <c r="Z526" t="n">
        <v>1162</v>
      </c>
      <c r="AA526" t="n">
        <v>1859</v>
      </c>
      <c r="AB526" t="n">
        <v>15</v>
      </c>
      <c r="AC526" t="n">
        <v>19</v>
      </c>
      <c r="AD526" t="n">
        <v>26</v>
      </c>
      <c r="AE526" t="n">
        <v>37</v>
      </c>
      <c r="AF526" t="n">
        <v>10</v>
      </c>
      <c r="AG526" t="n">
        <v>14</v>
      </c>
      <c r="AH526" t="n">
        <v>5</v>
      </c>
      <c r="AI526" t="n">
        <v>6</v>
      </c>
      <c r="AJ526" t="n">
        <v>10</v>
      </c>
      <c r="AK526" t="n">
        <v>16</v>
      </c>
      <c r="AL526" t="n">
        <v>6</v>
      </c>
      <c r="AM526" t="n">
        <v>9</v>
      </c>
      <c r="AN526" t="n">
        <v>1</v>
      </c>
      <c r="AO526" t="n">
        <v>1</v>
      </c>
      <c r="AP526" t="inlineStr">
        <is>
          <t>No</t>
        </is>
      </c>
      <c r="AQ526" t="inlineStr">
        <is>
          <t>No</t>
        </is>
      </c>
      <c r="AS526">
        <f>HYPERLINK("https://creighton-primo.hosted.exlibrisgroup.com/primo-explore/search?tab=default_tab&amp;search_scope=EVERYTHING&amp;vid=01CRU&amp;lang=en_US&amp;offset=0&amp;query=any,contains,991003651339702656","Catalog Record")</f>
        <v/>
      </c>
      <c r="AT526">
        <f>HYPERLINK("http://www.worldcat.org/oclc/48093501","WorldCat Record")</f>
        <v/>
      </c>
      <c r="AU526" t="inlineStr">
        <is>
          <t>37303691:eng</t>
        </is>
      </c>
      <c r="AV526" t="inlineStr">
        <is>
          <t>48093501</t>
        </is>
      </c>
      <c r="AW526" t="inlineStr">
        <is>
          <t>991003651339702656</t>
        </is>
      </c>
      <c r="AX526" t="inlineStr">
        <is>
          <t>991003651339702656</t>
        </is>
      </c>
      <c r="AY526" t="inlineStr">
        <is>
          <t>2260278740002656</t>
        </is>
      </c>
      <c r="AZ526" t="inlineStr">
        <is>
          <t>BOOK</t>
        </is>
      </c>
      <c r="BB526" t="inlineStr">
        <is>
          <t>9780761535812</t>
        </is>
      </c>
      <c r="BC526" t="inlineStr">
        <is>
          <t>32285004420708</t>
        </is>
      </c>
      <c r="BD526" t="inlineStr">
        <is>
          <t>893611275</t>
        </is>
      </c>
    </row>
    <row r="527">
      <c r="A527" t="inlineStr">
        <is>
          <t>No</t>
        </is>
      </c>
      <c r="B527" t="inlineStr">
        <is>
          <t>HV6431 .A79 2007</t>
        </is>
      </c>
      <c r="C527" t="inlineStr">
        <is>
          <t>0                      HV 6431000A  79          2007</t>
        </is>
      </c>
      <c r="D527" t="inlineStr">
        <is>
          <t>Democracy and counterterrorism : lessons from the the past / Robert J. Art, Louise Richardson.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Art, Robert J.</t>
        </is>
      </c>
      <c r="L527" t="inlineStr">
        <is>
          <t>Washington, D.C. : United States Institute of Peace Press, 2007.</t>
        </is>
      </c>
      <c r="M527" t="inlineStr">
        <is>
          <t>2007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HV </t>
        </is>
      </c>
      <c r="S527" t="n">
        <v>5</v>
      </c>
      <c r="T527" t="n">
        <v>5</v>
      </c>
      <c r="U527" t="inlineStr">
        <is>
          <t>2010-09-08</t>
        </is>
      </c>
      <c r="V527" t="inlineStr">
        <is>
          <t>2010-09-08</t>
        </is>
      </c>
      <c r="W527" t="inlineStr">
        <is>
          <t>2007-09-17</t>
        </is>
      </c>
      <c r="X527" t="inlineStr">
        <is>
          <t>2007-09-17</t>
        </is>
      </c>
      <c r="Y527" t="n">
        <v>387</v>
      </c>
      <c r="Z527" t="n">
        <v>314</v>
      </c>
      <c r="AA527" t="n">
        <v>314</v>
      </c>
      <c r="AB527" t="n">
        <v>2</v>
      </c>
      <c r="AC527" t="n">
        <v>2</v>
      </c>
      <c r="AD527" t="n">
        <v>14</v>
      </c>
      <c r="AE527" t="n">
        <v>14</v>
      </c>
      <c r="AF527" t="n">
        <v>6</v>
      </c>
      <c r="AG527" t="n">
        <v>6</v>
      </c>
      <c r="AH527" t="n">
        <v>3</v>
      </c>
      <c r="AI527" t="n">
        <v>3</v>
      </c>
      <c r="AJ527" t="n">
        <v>7</v>
      </c>
      <c r="AK527" t="n">
        <v>7</v>
      </c>
      <c r="AL527" t="n">
        <v>1</v>
      </c>
      <c r="AM527" t="n">
        <v>1</v>
      </c>
      <c r="AN527" t="n">
        <v>1</v>
      </c>
      <c r="AO527" t="n">
        <v>1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HYPERLINK("https://creighton-primo.hosted.exlibrisgroup.com/primo-explore/search?tab=default_tab&amp;search_scope=EVERYTHING&amp;vid=01CRU&amp;lang=en_US&amp;offset=0&amp;query=any,contains,991005112639702656","Catalog Record")</f>
        <v/>
      </c>
      <c r="AT527">
        <f>HYPERLINK("http://www.worldcat.org/oclc/69104294","WorldCat Record")</f>
        <v/>
      </c>
      <c r="AU527" t="inlineStr">
        <is>
          <t>9409511031:eng</t>
        </is>
      </c>
      <c r="AV527" t="inlineStr">
        <is>
          <t>69104294</t>
        </is>
      </c>
      <c r="AW527" t="inlineStr">
        <is>
          <t>991005112639702656</t>
        </is>
      </c>
      <c r="AX527" t="inlineStr">
        <is>
          <t>991005112639702656</t>
        </is>
      </c>
      <c r="AY527" t="inlineStr">
        <is>
          <t>2255440440002656</t>
        </is>
      </c>
      <c r="AZ527" t="inlineStr">
        <is>
          <t>BOOK</t>
        </is>
      </c>
      <c r="BB527" t="inlineStr">
        <is>
          <t>9781929223930</t>
        </is>
      </c>
      <c r="BC527" t="inlineStr">
        <is>
          <t>32285005325369</t>
        </is>
      </c>
      <c r="BD527" t="inlineStr">
        <is>
          <t>893870536</t>
        </is>
      </c>
    </row>
    <row r="528">
      <c r="A528" t="inlineStr">
        <is>
          <t>No</t>
        </is>
      </c>
      <c r="B528" t="inlineStr">
        <is>
          <t>HV6431 .B44</t>
        </is>
      </c>
      <c r="C528" t="inlineStr">
        <is>
          <t>0                      HV 6431000B  44</t>
        </is>
      </c>
      <c r="D528" t="inlineStr">
        <is>
          <t>Transnational terror / J. Bowyer Bell.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Bell, J. Bowyer, 1931-</t>
        </is>
      </c>
      <c r="L528" t="inlineStr">
        <is>
          <t>Washington : American Enterprise Institute for Public Policy Research, 1975.</t>
        </is>
      </c>
      <c r="M528" t="inlineStr">
        <is>
          <t>1975</t>
        </is>
      </c>
      <c r="O528" t="inlineStr">
        <is>
          <t>eng</t>
        </is>
      </c>
      <c r="P528" t="inlineStr">
        <is>
          <t>dcu</t>
        </is>
      </c>
      <c r="Q528" t="inlineStr">
        <is>
          <t>AEI-Hoover policy studies ; 17</t>
        </is>
      </c>
      <c r="R528" t="inlineStr">
        <is>
          <t xml:space="preserve">HV </t>
        </is>
      </c>
      <c r="S528" t="n">
        <v>6</v>
      </c>
      <c r="T528" t="n">
        <v>6</v>
      </c>
      <c r="U528" t="inlineStr">
        <is>
          <t>2005-10-30</t>
        </is>
      </c>
      <c r="V528" t="inlineStr">
        <is>
          <t>2005-10-30</t>
        </is>
      </c>
      <c r="W528" t="inlineStr">
        <is>
          <t>1999-03-04</t>
        </is>
      </c>
      <c r="X528" t="inlineStr">
        <is>
          <t>1999-03-04</t>
        </is>
      </c>
      <c r="Y528" t="n">
        <v>632</v>
      </c>
      <c r="Z528" t="n">
        <v>522</v>
      </c>
      <c r="AA528" t="n">
        <v>529</v>
      </c>
      <c r="AB528" t="n">
        <v>3</v>
      </c>
      <c r="AC528" t="n">
        <v>3</v>
      </c>
      <c r="AD528" t="n">
        <v>27</v>
      </c>
      <c r="AE528" t="n">
        <v>27</v>
      </c>
      <c r="AF528" t="n">
        <v>8</v>
      </c>
      <c r="AG528" t="n">
        <v>8</v>
      </c>
      <c r="AH528" t="n">
        <v>6</v>
      </c>
      <c r="AI528" t="n">
        <v>6</v>
      </c>
      <c r="AJ528" t="n">
        <v>13</v>
      </c>
      <c r="AK528" t="n">
        <v>13</v>
      </c>
      <c r="AL528" t="n">
        <v>2</v>
      </c>
      <c r="AM528" t="n">
        <v>2</v>
      </c>
      <c r="AN528" t="n">
        <v>5</v>
      </c>
      <c r="AO528" t="n">
        <v>5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HYPERLINK("http://catalog.hathitrust.org/Record/000705302","HathiTrust Record")</f>
        <v/>
      </c>
      <c r="AS528">
        <f>HYPERLINK("https://creighton-primo.hosted.exlibrisgroup.com/primo-explore/search?tab=default_tab&amp;search_scope=EVERYTHING&amp;vid=01CRU&amp;lang=en_US&amp;offset=0&amp;query=any,contains,991003927539702656","Catalog Record")</f>
        <v/>
      </c>
      <c r="AT528">
        <f>HYPERLINK("http://www.worldcat.org/oclc/1887541","WorldCat Record")</f>
        <v/>
      </c>
      <c r="AU528" t="inlineStr">
        <is>
          <t>3237010:eng</t>
        </is>
      </c>
      <c r="AV528" t="inlineStr">
        <is>
          <t>1887541</t>
        </is>
      </c>
      <c r="AW528" t="inlineStr">
        <is>
          <t>991003927539702656</t>
        </is>
      </c>
      <c r="AX528" t="inlineStr">
        <is>
          <t>991003927539702656</t>
        </is>
      </c>
      <c r="AY528" t="inlineStr">
        <is>
          <t>2263118660002656</t>
        </is>
      </c>
      <c r="AZ528" t="inlineStr">
        <is>
          <t>BOOK</t>
        </is>
      </c>
      <c r="BB528" t="inlineStr">
        <is>
          <t>9780844731872</t>
        </is>
      </c>
      <c r="BC528" t="inlineStr">
        <is>
          <t>32285003263133</t>
        </is>
      </c>
      <c r="BD528" t="inlineStr">
        <is>
          <t>893875472</t>
        </is>
      </c>
    </row>
    <row r="529">
      <c r="A529" t="inlineStr">
        <is>
          <t>No</t>
        </is>
      </c>
      <c r="B529" t="inlineStr">
        <is>
          <t>HV6431 .B4794 2004</t>
        </is>
      </c>
      <c r="C529" t="inlineStr">
        <is>
          <t>0                      HV 6431000B  4794        2004</t>
        </is>
      </c>
      <c r="D529" t="inlineStr">
        <is>
          <t>Terror and liberalism / Paul Berman.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Berman, Paul, 1949-</t>
        </is>
      </c>
      <c r="L529" t="inlineStr">
        <is>
          <t>New York : Norton, c2004.</t>
        </is>
      </c>
      <c r="M529" t="inlineStr">
        <is>
          <t>2004</t>
        </is>
      </c>
      <c r="O529" t="inlineStr">
        <is>
          <t>eng</t>
        </is>
      </c>
      <c r="P529" t="inlineStr">
        <is>
          <t>nyu</t>
        </is>
      </c>
      <c r="R529" t="inlineStr">
        <is>
          <t xml:space="preserve">HV </t>
        </is>
      </c>
      <c r="S529" t="n">
        <v>3</v>
      </c>
      <c r="T529" t="n">
        <v>3</v>
      </c>
      <c r="U529" t="inlineStr">
        <is>
          <t>2005-10-30</t>
        </is>
      </c>
      <c r="V529" t="inlineStr">
        <is>
          <t>2005-10-30</t>
        </is>
      </c>
      <c r="W529" t="inlineStr">
        <is>
          <t>2005-02-14</t>
        </is>
      </c>
      <c r="X529" t="inlineStr">
        <is>
          <t>2005-02-14</t>
        </is>
      </c>
      <c r="Y529" t="n">
        <v>192</v>
      </c>
      <c r="Z529" t="n">
        <v>112</v>
      </c>
      <c r="AA529" t="n">
        <v>1190</v>
      </c>
      <c r="AB529" t="n">
        <v>1</v>
      </c>
      <c r="AC529" t="n">
        <v>7</v>
      </c>
      <c r="AD529" t="n">
        <v>2</v>
      </c>
      <c r="AE529" t="n">
        <v>42</v>
      </c>
      <c r="AF529" t="n">
        <v>1</v>
      </c>
      <c r="AG529" t="n">
        <v>18</v>
      </c>
      <c r="AH529" t="n">
        <v>0</v>
      </c>
      <c r="AI529" t="n">
        <v>10</v>
      </c>
      <c r="AJ529" t="n">
        <v>2</v>
      </c>
      <c r="AK529" t="n">
        <v>20</v>
      </c>
      <c r="AL529" t="n">
        <v>0</v>
      </c>
      <c r="AM529" t="n">
        <v>5</v>
      </c>
      <c r="AN529" t="n">
        <v>0</v>
      </c>
      <c r="AO529" t="n">
        <v>2</v>
      </c>
      <c r="AP529" t="inlineStr">
        <is>
          <t>No</t>
        </is>
      </c>
      <c r="AQ529" t="inlineStr">
        <is>
          <t>No</t>
        </is>
      </c>
      <c r="AS529">
        <f>HYPERLINK("https://creighton-primo.hosted.exlibrisgroup.com/primo-explore/search?tab=default_tab&amp;search_scope=EVERYTHING&amp;vid=01CRU&amp;lang=en_US&amp;offset=0&amp;query=any,contains,991004462079702656","Catalog Record")</f>
        <v/>
      </c>
      <c r="AT529">
        <f>HYPERLINK("http://www.worldcat.org/oclc/55110958","WorldCat Record")</f>
        <v/>
      </c>
      <c r="AU529" t="inlineStr">
        <is>
          <t>690378:eng</t>
        </is>
      </c>
      <c r="AV529" t="inlineStr">
        <is>
          <t>55110958</t>
        </is>
      </c>
      <c r="AW529" t="inlineStr">
        <is>
          <t>991004462079702656</t>
        </is>
      </c>
      <c r="AX529" t="inlineStr">
        <is>
          <t>991004462079702656</t>
        </is>
      </c>
      <c r="AY529" t="inlineStr">
        <is>
          <t>2265337790002656</t>
        </is>
      </c>
      <c r="AZ529" t="inlineStr">
        <is>
          <t>BOOK</t>
        </is>
      </c>
      <c r="BB529" t="inlineStr">
        <is>
          <t>9780393325553</t>
        </is>
      </c>
      <c r="BC529" t="inlineStr">
        <is>
          <t>32285005025860</t>
        </is>
      </c>
      <c r="BD529" t="inlineStr">
        <is>
          <t>893532417</t>
        </is>
      </c>
    </row>
    <row r="530">
      <c r="A530" t="inlineStr">
        <is>
          <t>No</t>
        </is>
      </c>
      <c r="B530" t="inlineStr">
        <is>
          <t>HV6431 .B65 2002</t>
        </is>
      </c>
      <c r="C530" t="inlineStr">
        <is>
          <t>0                      HV 6431000B  65          2002</t>
        </is>
      </c>
      <c r="D530" t="inlineStr">
        <is>
          <t>The counterterrorism handbook : tactics, procedures, and techniques / Frank Bolz, Jr., Kenneth J. Dudonis, David P. Schulz.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Bolz, Frank, 1930-</t>
        </is>
      </c>
      <c r="L530" t="inlineStr">
        <is>
          <t>Boca Raton : CRC Press, c2002.</t>
        </is>
      </c>
      <c r="M530" t="inlineStr">
        <is>
          <t>2002</t>
        </is>
      </c>
      <c r="N530" t="inlineStr">
        <is>
          <t>2nd ed.</t>
        </is>
      </c>
      <c r="O530" t="inlineStr">
        <is>
          <t>eng</t>
        </is>
      </c>
      <c r="P530" t="inlineStr">
        <is>
          <t>flu</t>
        </is>
      </c>
      <c r="Q530" t="inlineStr">
        <is>
          <t>CRC series in practical aspects of criminal and forensic investigations</t>
        </is>
      </c>
      <c r="R530" t="inlineStr">
        <is>
          <t xml:space="preserve">HV </t>
        </is>
      </c>
      <c r="S530" t="n">
        <v>4</v>
      </c>
      <c r="T530" t="n">
        <v>4</v>
      </c>
      <c r="U530" t="inlineStr">
        <is>
          <t>2005-03-28</t>
        </is>
      </c>
      <c r="V530" t="inlineStr">
        <is>
          <t>2005-03-28</t>
        </is>
      </c>
      <c r="W530" t="inlineStr">
        <is>
          <t>2001-11-15</t>
        </is>
      </c>
      <c r="X530" t="inlineStr">
        <is>
          <t>2001-11-15</t>
        </is>
      </c>
      <c r="Y530" t="n">
        <v>305</v>
      </c>
      <c r="Z530" t="n">
        <v>265</v>
      </c>
      <c r="AA530" t="n">
        <v>515</v>
      </c>
      <c r="AB530" t="n">
        <v>4</v>
      </c>
      <c r="AC530" t="n">
        <v>6</v>
      </c>
      <c r="AD530" t="n">
        <v>12</v>
      </c>
      <c r="AE530" t="n">
        <v>20</v>
      </c>
      <c r="AF530" t="n">
        <v>4</v>
      </c>
      <c r="AG530" t="n">
        <v>6</v>
      </c>
      <c r="AH530" t="n">
        <v>1</v>
      </c>
      <c r="AI530" t="n">
        <v>1</v>
      </c>
      <c r="AJ530" t="n">
        <v>6</v>
      </c>
      <c r="AK530" t="n">
        <v>8</v>
      </c>
      <c r="AL530" t="n">
        <v>3</v>
      </c>
      <c r="AM530" t="n">
        <v>5</v>
      </c>
      <c r="AN530" t="n">
        <v>1</v>
      </c>
      <c r="AO530" t="n">
        <v>4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HYPERLINK("https://creighton-primo.hosted.exlibrisgroup.com/primo-explore/search?tab=default_tab&amp;search_scope=EVERYTHING&amp;vid=01CRU&amp;lang=en_US&amp;offset=0&amp;query=any,contains,991003653729702656","Catalog Record")</f>
        <v/>
      </c>
      <c r="AT530">
        <f>HYPERLINK("http://www.worldcat.org/oclc/46829127","WorldCat Record")</f>
        <v/>
      </c>
      <c r="AU530" t="inlineStr">
        <is>
          <t>4923474126:eng</t>
        </is>
      </c>
      <c r="AV530" t="inlineStr">
        <is>
          <t>46829127</t>
        </is>
      </c>
      <c r="AW530" t="inlineStr">
        <is>
          <t>991003653729702656</t>
        </is>
      </c>
      <c r="AX530" t="inlineStr">
        <is>
          <t>991003653729702656</t>
        </is>
      </c>
      <c r="AY530" t="inlineStr">
        <is>
          <t>2256585020002656</t>
        </is>
      </c>
      <c r="AZ530" t="inlineStr">
        <is>
          <t>BOOK</t>
        </is>
      </c>
      <c r="BB530" t="inlineStr">
        <is>
          <t>9780849309649</t>
        </is>
      </c>
      <c r="BC530" t="inlineStr">
        <is>
          <t>32285004412127</t>
        </is>
      </c>
      <c r="BD530" t="inlineStr">
        <is>
          <t>893810096</t>
        </is>
      </c>
    </row>
    <row r="531">
      <c r="A531" t="inlineStr">
        <is>
          <t>No</t>
        </is>
      </c>
      <c r="B531" t="inlineStr">
        <is>
          <t>HV6431 .C48 1986</t>
        </is>
      </c>
      <c r="C531" t="inlineStr">
        <is>
          <t>0                      HV 6431000C  48          1986</t>
        </is>
      </c>
      <c r="D531" t="inlineStr">
        <is>
          <t>Pirates &amp; emperors : international terrorism in the real world / by Noam Chomsky.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Chomsky, Noam.</t>
        </is>
      </c>
      <c r="L531" t="inlineStr">
        <is>
          <t>New York : Claremont Research &amp; Publications, c1986.</t>
        </is>
      </c>
      <c r="M531" t="inlineStr">
        <is>
          <t>1986</t>
        </is>
      </c>
      <c r="N531" t="inlineStr">
        <is>
          <t>1st ed.</t>
        </is>
      </c>
      <c r="O531" t="inlineStr">
        <is>
          <t>eng</t>
        </is>
      </c>
      <c r="P531" t="inlineStr">
        <is>
          <t>nyu</t>
        </is>
      </c>
      <c r="R531" t="inlineStr">
        <is>
          <t xml:space="preserve">HV </t>
        </is>
      </c>
      <c r="S531" t="n">
        <v>6</v>
      </c>
      <c r="T531" t="n">
        <v>6</v>
      </c>
      <c r="U531" t="inlineStr">
        <is>
          <t>2003-09-05</t>
        </is>
      </c>
      <c r="V531" t="inlineStr">
        <is>
          <t>2003-09-05</t>
        </is>
      </c>
      <c r="W531" t="inlineStr">
        <is>
          <t>1990-07-06</t>
        </is>
      </c>
      <c r="X531" t="inlineStr">
        <is>
          <t>1990-07-06</t>
        </is>
      </c>
      <c r="Y531" t="n">
        <v>211</v>
      </c>
      <c r="Z531" t="n">
        <v>200</v>
      </c>
      <c r="AA531" t="n">
        <v>535</v>
      </c>
      <c r="AB531" t="n">
        <v>2</v>
      </c>
      <c r="AC531" t="n">
        <v>4</v>
      </c>
      <c r="AD531" t="n">
        <v>6</v>
      </c>
      <c r="AE531" t="n">
        <v>28</v>
      </c>
      <c r="AF531" t="n">
        <v>0</v>
      </c>
      <c r="AG531" t="n">
        <v>8</v>
      </c>
      <c r="AH531" t="n">
        <v>1</v>
      </c>
      <c r="AI531" t="n">
        <v>6</v>
      </c>
      <c r="AJ531" t="n">
        <v>4</v>
      </c>
      <c r="AK531" t="n">
        <v>15</v>
      </c>
      <c r="AL531" t="n">
        <v>1</v>
      </c>
      <c r="AM531" t="n">
        <v>3</v>
      </c>
      <c r="AN531" t="n">
        <v>1</v>
      </c>
      <c r="AO531" t="n">
        <v>2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HYPERLINK("http://catalog.hathitrust.org/Record/000820178","HathiTrust Record")</f>
        <v/>
      </c>
      <c r="AS531">
        <f>HYPERLINK("https://creighton-primo.hosted.exlibrisgroup.com/primo-explore/search?tab=default_tab&amp;search_scope=EVERYTHING&amp;vid=01CRU&amp;lang=en_US&amp;offset=0&amp;query=any,contains,991001017689702656","Catalog Record")</f>
        <v/>
      </c>
      <c r="AT531">
        <f>HYPERLINK("http://www.worldcat.org/oclc/15337405","WorldCat Record")</f>
        <v/>
      </c>
      <c r="AU531" t="inlineStr">
        <is>
          <t>738517:eng</t>
        </is>
      </c>
      <c r="AV531" t="inlineStr">
        <is>
          <t>15337405</t>
        </is>
      </c>
      <c r="AW531" t="inlineStr">
        <is>
          <t>991001017689702656</t>
        </is>
      </c>
      <c r="AX531" t="inlineStr">
        <is>
          <t>991001017689702656</t>
        </is>
      </c>
      <c r="AY531" t="inlineStr">
        <is>
          <t>2272704740002656</t>
        </is>
      </c>
      <c r="AZ531" t="inlineStr">
        <is>
          <t>BOOK</t>
        </is>
      </c>
      <c r="BB531" t="inlineStr">
        <is>
          <t>9780912439068</t>
        </is>
      </c>
      <c r="BC531" t="inlineStr">
        <is>
          <t>32285000225853</t>
        </is>
      </c>
      <c r="BD531" t="inlineStr">
        <is>
          <t>893333982</t>
        </is>
      </c>
    </row>
    <row r="532">
      <c r="A532" t="inlineStr">
        <is>
          <t>No</t>
        </is>
      </c>
      <c r="B532" t="inlineStr">
        <is>
          <t>HV6431 .C66 1986</t>
        </is>
      </c>
      <c r="C532" t="inlineStr">
        <is>
          <t>0                      HV 6431000C  66          1986</t>
        </is>
      </c>
      <c r="D532" t="inlineStr">
        <is>
          <t>Contemporary terrorism / edited by William Gutteridge for the Institute for the Study of Conflict.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L532" t="inlineStr">
        <is>
          <t>New York, N.Y. : Facts on File, 1986.</t>
        </is>
      </c>
      <c r="M532" t="inlineStr">
        <is>
          <t>1986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HV </t>
        </is>
      </c>
      <c r="S532" t="n">
        <v>10</v>
      </c>
      <c r="T532" t="n">
        <v>10</v>
      </c>
      <c r="U532" t="inlineStr">
        <is>
          <t>2008-04-22</t>
        </is>
      </c>
      <c r="V532" t="inlineStr">
        <is>
          <t>2008-04-22</t>
        </is>
      </c>
      <c r="W532" t="inlineStr">
        <is>
          <t>1990-07-06</t>
        </is>
      </c>
      <c r="X532" t="inlineStr">
        <is>
          <t>1990-07-06</t>
        </is>
      </c>
      <c r="Y532" t="n">
        <v>677</v>
      </c>
      <c r="Z532" t="n">
        <v>608</v>
      </c>
      <c r="AA532" t="n">
        <v>620</v>
      </c>
      <c r="AB532" t="n">
        <v>6</v>
      </c>
      <c r="AC532" t="n">
        <v>6</v>
      </c>
      <c r="AD532" t="n">
        <v>15</v>
      </c>
      <c r="AE532" t="n">
        <v>15</v>
      </c>
      <c r="AF532" t="n">
        <v>2</v>
      </c>
      <c r="AG532" t="n">
        <v>2</v>
      </c>
      <c r="AH532" t="n">
        <v>4</v>
      </c>
      <c r="AI532" t="n">
        <v>4</v>
      </c>
      <c r="AJ532" t="n">
        <v>9</v>
      </c>
      <c r="AK532" t="n">
        <v>9</v>
      </c>
      <c r="AL532" t="n">
        <v>3</v>
      </c>
      <c r="AM532" t="n">
        <v>3</v>
      </c>
      <c r="AN532" t="n">
        <v>2</v>
      </c>
      <c r="AO532" t="n">
        <v>2</v>
      </c>
      <c r="AP532" t="inlineStr">
        <is>
          <t>No</t>
        </is>
      </c>
      <c r="AQ532" t="inlineStr">
        <is>
          <t>No</t>
        </is>
      </c>
      <c r="AS532">
        <f>HYPERLINK("https://creighton-primo.hosted.exlibrisgroup.com/primo-explore/search?tab=default_tab&amp;search_scope=EVERYTHING&amp;vid=01CRU&amp;lang=en_US&amp;offset=0&amp;query=any,contains,991000817709702656","Catalog Record")</f>
        <v/>
      </c>
      <c r="AT532">
        <f>HYPERLINK("http://www.worldcat.org/oclc/12558426","WorldCat Record")</f>
        <v/>
      </c>
      <c r="AU532" t="inlineStr">
        <is>
          <t>370837271:eng</t>
        </is>
      </c>
      <c r="AV532" t="inlineStr">
        <is>
          <t>12558426</t>
        </is>
      </c>
      <c r="AW532" t="inlineStr">
        <is>
          <t>991000817709702656</t>
        </is>
      </c>
      <c r="AX532" t="inlineStr">
        <is>
          <t>991000817709702656</t>
        </is>
      </c>
      <c r="AY532" t="inlineStr">
        <is>
          <t>2271740180002656</t>
        </is>
      </c>
      <c r="AZ532" t="inlineStr">
        <is>
          <t>BOOK</t>
        </is>
      </c>
      <c r="BB532" t="inlineStr">
        <is>
          <t>9780816014682</t>
        </is>
      </c>
      <c r="BC532" t="inlineStr">
        <is>
          <t>32285000225879</t>
        </is>
      </c>
      <c r="BD532" t="inlineStr">
        <is>
          <t>893528414</t>
        </is>
      </c>
    </row>
    <row r="533">
      <c r="A533" t="inlineStr">
        <is>
          <t>No</t>
        </is>
      </c>
      <c r="B533" t="inlineStr">
        <is>
          <t>HV6431 .C665 2003</t>
        </is>
      </c>
      <c r="C533" t="inlineStr">
        <is>
          <t>0                      HV 6431000C  665         2003</t>
        </is>
      </c>
      <c r="D533" t="inlineStr">
        <is>
          <t>Terrorism : a philosophical analysis / by J. Angelo Corlett.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Corlett, J. Angelo, 1958-</t>
        </is>
      </c>
      <c r="L533" t="inlineStr">
        <is>
          <t>Dordrecht ; Boston : Kluwer Academic Publishers, c2003.</t>
        </is>
      </c>
      <c r="M533" t="inlineStr">
        <is>
          <t>2003</t>
        </is>
      </c>
      <c r="O533" t="inlineStr">
        <is>
          <t>eng</t>
        </is>
      </c>
      <c r="P533" t="inlineStr">
        <is>
          <t xml:space="preserve">na </t>
        </is>
      </c>
      <c r="Q533" t="inlineStr">
        <is>
          <t>Philosophical studies series ; v. 101</t>
        </is>
      </c>
      <c r="R533" t="inlineStr">
        <is>
          <t xml:space="preserve">HV </t>
        </is>
      </c>
      <c r="S533" t="n">
        <v>3</v>
      </c>
      <c r="T533" t="n">
        <v>3</v>
      </c>
      <c r="U533" t="inlineStr">
        <is>
          <t>2006-11-20</t>
        </is>
      </c>
      <c r="V533" t="inlineStr">
        <is>
          <t>2006-11-20</t>
        </is>
      </c>
      <c r="W533" t="inlineStr">
        <is>
          <t>2005-10-13</t>
        </is>
      </c>
      <c r="X533" t="inlineStr">
        <is>
          <t>2005-10-13</t>
        </is>
      </c>
      <c r="Y533" t="n">
        <v>309</v>
      </c>
      <c r="Z533" t="n">
        <v>233</v>
      </c>
      <c r="AA533" t="n">
        <v>253</v>
      </c>
      <c r="AB533" t="n">
        <v>2</v>
      </c>
      <c r="AC533" t="n">
        <v>2</v>
      </c>
      <c r="AD533" t="n">
        <v>15</v>
      </c>
      <c r="AE533" t="n">
        <v>16</v>
      </c>
      <c r="AF533" t="n">
        <v>5</v>
      </c>
      <c r="AG533" t="n">
        <v>6</v>
      </c>
      <c r="AH533" t="n">
        <v>6</v>
      </c>
      <c r="AI533" t="n">
        <v>6</v>
      </c>
      <c r="AJ533" t="n">
        <v>7</v>
      </c>
      <c r="AK533" t="n">
        <v>8</v>
      </c>
      <c r="AL533" t="n">
        <v>1</v>
      </c>
      <c r="AM533" t="n">
        <v>1</v>
      </c>
      <c r="AN533" t="n">
        <v>1</v>
      </c>
      <c r="AO533" t="n">
        <v>1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HYPERLINK("https://creighton-primo.hosted.exlibrisgroup.com/primo-explore/search?tab=default_tab&amp;search_scope=EVERYTHING&amp;vid=01CRU&amp;lang=en_US&amp;offset=0&amp;query=any,contains,991004668599702656","Catalog Record")</f>
        <v/>
      </c>
      <c r="AT533">
        <f>HYPERLINK("http://www.worldcat.org/oclc/53030926","WorldCat Record")</f>
        <v/>
      </c>
      <c r="AU533" t="inlineStr">
        <is>
          <t>757159:eng</t>
        </is>
      </c>
      <c r="AV533" t="inlineStr">
        <is>
          <t>53030926</t>
        </is>
      </c>
      <c r="AW533" t="inlineStr">
        <is>
          <t>991004668599702656</t>
        </is>
      </c>
      <c r="AX533" t="inlineStr">
        <is>
          <t>991004668599702656</t>
        </is>
      </c>
      <c r="AY533" t="inlineStr">
        <is>
          <t>2255358720002656</t>
        </is>
      </c>
      <c r="AZ533" t="inlineStr">
        <is>
          <t>BOOK</t>
        </is>
      </c>
      <c r="BB533" t="inlineStr">
        <is>
          <t>9781402016943</t>
        </is>
      </c>
      <c r="BC533" t="inlineStr">
        <is>
          <t>32285005089429</t>
        </is>
      </c>
      <c r="BD533" t="inlineStr">
        <is>
          <t>893869963</t>
        </is>
      </c>
    </row>
    <row r="534">
      <c r="A534" t="inlineStr">
        <is>
          <t>No</t>
        </is>
      </c>
      <c r="B534" t="inlineStr">
        <is>
          <t>HV6431 .D46 1991</t>
        </is>
      </c>
      <c r="C534" t="inlineStr">
        <is>
          <t>0                      HV 6431000D  46          1991</t>
        </is>
      </c>
      <c r="D534" t="inlineStr">
        <is>
          <t>Democratic responses to international terrorism / edited by David A. Charters.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L534" t="inlineStr">
        <is>
          <t>Ardsley-on-Hudson, N.Y. : Transnational Publishers, c1991.</t>
        </is>
      </c>
      <c r="M534" t="inlineStr">
        <is>
          <t>1991</t>
        </is>
      </c>
      <c r="O534" t="inlineStr">
        <is>
          <t>eng</t>
        </is>
      </c>
      <c r="P534" t="inlineStr">
        <is>
          <t>nyu</t>
        </is>
      </c>
      <c r="R534" t="inlineStr">
        <is>
          <t xml:space="preserve">HV </t>
        </is>
      </c>
      <c r="S534" t="n">
        <v>14</v>
      </c>
      <c r="T534" t="n">
        <v>14</v>
      </c>
      <c r="U534" t="inlineStr">
        <is>
          <t>2008-04-22</t>
        </is>
      </c>
      <c r="V534" t="inlineStr">
        <is>
          <t>2008-04-22</t>
        </is>
      </c>
      <c r="W534" t="inlineStr">
        <is>
          <t>1992-06-16</t>
        </is>
      </c>
      <c r="X534" t="inlineStr">
        <is>
          <t>1992-06-16</t>
        </is>
      </c>
      <c r="Y534" t="n">
        <v>149</v>
      </c>
      <c r="Z534" t="n">
        <v>112</v>
      </c>
      <c r="AA534" t="n">
        <v>114</v>
      </c>
      <c r="AB534" t="n">
        <v>2</v>
      </c>
      <c r="AC534" t="n">
        <v>2</v>
      </c>
      <c r="AD534" t="n">
        <v>9</v>
      </c>
      <c r="AE534" t="n">
        <v>9</v>
      </c>
      <c r="AF534" t="n">
        <v>1</v>
      </c>
      <c r="AG534" t="n">
        <v>1</v>
      </c>
      <c r="AH534" t="n">
        <v>1</v>
      </c>
      <c r="AI534" t="n">
        <v>1</v>
      </c>
      <c r="AJ534" t="n">
        <v>1</v>
      </c>
      <c r="AK534" t="n">
        <v>1</v>
      </c>
      <c r="AL534" t="n">
        <v>1</v>
      </c>
      <c r="AM534" t="n">
        <v>1</v>
      </c>
      <c r="AN534" t="n">
        <v>6</v>
      </c>
      <c r="AO534" t="n">
        <v>6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HYPERLINK("http://catalog.hathitrust.org/Record/007151739","HathiTrust Record")</f>
        <v/>
      </c>
      <c r="AS534">
        <f>HYPERLINK("https://creighton-primo.hosted.exlibrisgroup.com/primo-explore/search?tab=default_tab&amp;search_scope=EVERYTHING&amp;vid=01CRU&amp;lang=en_US&amp;offset=0&amp;query=any,contains,991001765909702656","Catalog Record")</f>
        <v/>
      </c>
      <c r="AT534">
        <f>HYPERLINK("http://www.worldcat.org/oclc/22308920","WorldCat Record")</f>
        <v/>
      </c>
      <c r="AU534" t="inlineStr">
        <is>
          <t>367440534:eng</t>
        </is>
      </c>
      <c r="AV534" t="inlineStr">
        <is>
          <t>22308920</t>
        </is>
      </c>
      <c r="AW534" t="inlineStr">
        <is>
          <t>991001765909702656</t>
        </is>
      </c>
      <c r="AX534" t="inlineStr">
        <is>
          <t>991001765909702656</t>
        </is>
      </c>
      <c r="AY534" t="inlineStr">
        <is>
          <t>2259062510002656</t>
        </is>
      </c>
      <c r="AZ534" t="inlineStr">
        <is>
          <t>BOOK</t>
        </is>
      </c>
      <c r="BB534" t="inlineStr">
        <is>
          <t>9780941320665</t>
        </is>
      </c>
      <c r="BC534" t="inlineStr">
        <is>
          <t>32285001129161</t>
        </is>
      </c>
      <c r="BD534" t="inlineStr">
        <is>
          <t>893250478</t>
        </is>
      </c>
    </row>
    <row r="535">
      <c r="A535" t="inlineStr">
        <is>
          <t>No</t>
        </is>
      </c>
      <c r="B535" t="inlineStr">
        <is>
          <t>HV6431 .D62 1982</t>
        </is>
      </c>
      <c r="C535" t="inlineStr">
        <is>
          <t>0                      HV 6431000D  62          1982</t>
        </is>
      </c>
      <c r="D535" t="inlineStr">
        <is>
          <t>The terrorists : their weapons, leaders, and tactics / by Christopher Dobson and Ronald Payne.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Dobson, Christopher, 1927-</t>
        </is>
      </c>
      <c r="L535" t="inlineStr">
        <is>
          <t>New York, N.Y. : Facts on File, c1982.</t>
        </is>
      </c>
      <c r="M535" t="inlineStr">
        <is>
          <t>1982</t>
        </is>
      </c>
      <c r="N535" t="inlineStr">
        <is>
          <t>Rev. ed.</t>
        </is>
      </c>
      <c r="O535" t="inlineStr">
        <is>
          <t>eng</t>
        </is>
      </c>
      <c r="P535" t="inlineStr">
        <is>
          <t>nyu</t>
        </is>
      </c>
      <c r="R535" t="inlineStr">
        <is>
          <t xml:space="preserve">HV </t>
        </is>
      </c>
      <c r="S535" t="n">
        <v>8</v>
      </c>
      <c r="T535" t="n">
        <v>8</v>
      </c>
      <c r="U535" t="inlineStr">
        <is>
          <t>2008-04-16</t>
        </is>
      </c>
      <c r="V535" t="inlineStr">
        <is>
          <t>2008-04-16</t>
        </is>
      </c>
      <c r="W535" t="inlineStr">
        <is>
          <t>1990-07-06</t>
        </is>
      </c>
      <c r="X535" t="inlineStr">
        <is>
          <t>1990-07-06</t>
        </is>
      </c>
      <c r="Y535" t="n">
        <v>901</v>
      </c>
      <c r="Z535" t="n">
        <v>810</v>
      </c>
      <c r="AA535" t="n">
        <v>1216</v>
      </c>
      <c r="AB535" t="n">
        <v>7</v>
      </c>
      <c r="AC535" t="n">
        <v>11</v>
      </c>
      <c r="AD535" t="n">
        <v>26</v>
      </c>
      <c r="AE535" t="n">
        <v>40</v>
      </c>
      <c r="AF535" t="n">
        <v>10</v>
      </c>
      <c r="AG535" t="n">
        <v>15</v>
      </c>
      <c r="AH535" t="n">
        <v>4</v>
      </c>
      <c r="AI535" t="n">
        <v>8</v>
      </c>
      <c r="AJ535" t="n">
        <v>13</v>
      </c>
      <c r="AK535" t="n">
        <v>16</v>
      </c>
      <c r="AL535" t="n">
        <v>3</v>
      </c>
      <c r="AM535" t="n">
        <v>5</v>
      </c>
      <c r="AN535" t="n">
        <v>3</v>
      </c>
      <c r="AO535" t="n">
        <v>5</v>
      </c>
      <c r="AP535" t="inlineStr">
        <is>
          <t>No</t>
        </is>
      </c>
      <c r="AQ535" t="inlineStr">
        <is>
          <t>Yes</t>
        </is>
      </c>
      <c r="AR535">
        <f>HYPERLINK("http://catalog.hathitrust.org/Record/000104736","HathiTrust Record")</f>
        <v/>
      </c>
      <c r="AS535">
        <f>HYPERLINK("https://creighton-primo.hosted.exlibrisgroup.com/primo-explore/search?tab=default_tab&amp;search_scope=EVERYTHING&amp;vid=01CRU&amp;lang=en_US&amp;offset=0&amp;query=any,contains,991005213919702656","Catalog Record")</f>
        <v/>
      </c>
      <c r="AT535">
        <f>HYPERLINK("http://www.worldcat.org/oclc/8171688","WorldCat Record")</f>
        <v/>
      </c>
      <c r="AU535" t="inlineStr">
        <is>
          <t>519054:eng</t>
        </is>
      </c>
      <c r="AV535" t="inlineStr">
        <is>
          <t>8171688</t>
        </is>
      </c>
      <c r="AW535" t="inlineStr">
        <is>
          <t>991005213919702656</t>
        </is>
      </c>
      <c r="AX535" t="inlineStr">
        <is>
          <t>991005213919702656</t>
        </is>
      </c>
      <c r="AY535" t="inlineStr">
        <is>
          <t>2257172550002656</t>
        </is>
      </c>
      <c r="AZ535" t="inlineStr">
        <is>
          <t>BOOK</t>
        </is>
      </c>
      <c r="BB535" t="inlineStr">
        <is>
          <t>9780871966681</t>
        </is>
      </c>
      <c r="BC535" t="inlineStr">
        <is>
          <t>32285000225911</t>
        </is>
      </c>
      <c r="BD535" t="inlineStr">
        <is>
          <t>893877136</t>
        </is>
      </c>
    </row>
    <row r="536">
      <c r="A536" t="inlineStr">
        <is>
          <t>No</t>
        </is>
      </c>
      <c r="B536" t="inlineStr">
        <is>
          <t>HV6431 .G75 2003</t>
        </is>
      </c>
      <c r="C536" t="inlineStr">
        <is>
          <t>0                      HV 6431000G  75          2003</t>
        </is>
      </c>
      <c r="D536" t="inlineStr">
        <is>
          <t>Hostage : the history, facts &amp; reasoning behind hostage taking / John C. Griffiths.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Griffiths, John Charles.</t>
        </is>
      </c>
      <c r="L536" t="inlineStr">
        <is>
          <t>London : Andre Deutsch, 2003.</t>
        </is>
      </c>
      <c r="M536" t="inlineStr">
        <is>
          <t>2003</t>
        </is>
      </c>
      <c r="O536" t="inlineStr">
        <is>
          <t>eng</t>
        </is>
      </c>
      <c r="P536" t="inlineStr">
        <is>
          <t>enk</t>
        </is>
      </c>
      <c r="R536" t="inlineStr">
        <is>
          <t xml:space="preserve">HV </t>
        </is>
      </c>
      <c r="S536" t="n">
        <v>2</v>
      </c>
      <c r="T536" t="n">
        <v>2</v>
      </c>
      <c r="U536" t="inlineStr">
        <is>
          <t>2006-09-08</t>
        </is>
      </c>
      <c r="V536" t="inlineStr">
        <is>
          <t>2006-09-08</t>
        </is>
      </c>
      <c r="W536" t="inlineStr">
        <is>
          <t>2006-07-24</t>
        </is>
      </c>
      <c r="X536" t="inlineStr">
        <is>
          <t>2006-07-24</t>
        </is>
      </c>
      <c r="Y536" t="n">
        <v>489</v>
      </c>
      <c r="Z536" t="n">
        <v>427</v>
      </c>
      <c r="AA536" t="n">
        <v>434</v>
      </c>
      <c r="AB536" t="n">
        <v>3</v>
      </c>
      <c r="AC536" t="n">
        <v>3</v>
      </c>
      <c r="AD536" t="n">
        <v>17</v>
      </c>
      <c r="AE536" t="n">
        <v>17</v>
      </c>
      <c r="AF536" t="n">
        <v>9</v>
      </c>
      <c r="AG536" t="n">
        <v>9</v>
      </c>
      <c r="AH536" t="n">
        <v>5</v>
      </c>
      <c r="AI536" t="n">
        <v>5</v>
      </c>
      <c r="AJ536" t="n">
        <v>7</v>
      </c>
      <c r="AK536" t="n">
        <v>7</v>
      </c>
      <c r="AL536" t="n">
        <v>2</v>
      </c>
      <c r="AM536" t="n">
        <v>2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HYPERLINK("http://catalog.hathitrust.org/Record/004965888","HathiTrust Record")</f>
        <v/>
      </c>
      <c r="AS536">
        <f>HYPERLINK("https://creighton-primo.hosted.exlibrisgroup.com/primo-explore/search?tab=default_tab&amp;search_scope=EVERYTHING&amp;vid=01CRU&amp;lang=en_US&amp;offset=0&amp;query=any,contains,991004852579702656","Catalog Record")</f>
        <v/>
      </c>
      <c r="AT536">
        <f>HYPERLINK("http://www.worldcat.org/oclc/52620343","WorldCat Record")</f>
        <v/>
      </c>
      <c r="AU536" t="inlineStr">
        <is>
          <t>1201707:eng</t>
        </is>
      </c>
      <c r="AV536" t="inlineStr">
        <is>
          <t>52620343</t>
        </is>
      </c>
      <c r="AW536" t="inlineStr">
        <is>
          <t>991004852579702656</t>
        </is>
      </c>
      <c r="AX536" t="inlineStr">
        <is>
          <t>991004852579702656</t>
        </is>
      </c>
      <c r="AY536" t="inlineStr">
        <is>
          <t>2261494620002656</t>
        </is>
      </c>
      <c r="AZ536" t="inlineStr">
        <is>
          <t>BOOK</t>
        </is>
      </c>
      <c r="BB536" t="inlineStr">
        <is>
          <t>9780233000343</t>
        </is>
      </c>
      <c r="BC536" t="inlineStr">
        <is>
          <t>32285005196935</t>
        </is>
      </c>
      <c r="BD536" t="inlineStr">
        <is>
          <t>893789169</t>
        </is>
      </c>
    </row>
    <row r="537">
      <c r="A537" t="inlineStr">
        <is>
          <t>No</t>
        </is>
      </c>
      <c r="B537" t="inlineStr">
        <is>
          <t>HV6431 .G757 2003</t>
        </is>
      </c>
      <c r="C537" t="inlineStr">
        <is>
          <t>0                      HV 6431000G  757         2003</t>
        </is>
      </c>
      <c r="D537" t="inlineStr">
        <is>
          <t>Terrorism in perspective / Pamala L. Griset, Sue Mahan.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Griset, Pamala L., 1946-</t>
        </is>
      </c>
      <c r="L537" t="inlineStr">
        <is>
          <t>Thousand Oaks : Sage Publications, c2003.</t>
        </is>
      </c>
      <c r="M537" t="inlineStr">
        <is>
          <t>2003</t>
        </is>
      </c>
      <c r="O537" t="inlineStr">
        <is>
          <t>eng</t>
        </is>
      </c>
      <c r="P537" t="inlineStr">
        <is>
          <t>cau</t>
        </is>
      </c>
      <c r="R537" t="inlineStr">
        <is>
          <t xml:space="preserve">HV </t>
        </is>
      </c>
      <c r="S537" t="n">
        <v>6</v>
      </c>
      <c r="T537" t="n">
        <v>6</v>
      </c>
      <c r="U537" t="inlineStr">
        <is>
          <t>2008-04-16</t>
        </is>
      </c>
      <c r="V537" t="inlineStr">
        <is>
          <t>2008-04-16</t>
        </is>
      </c>
      <c r="W537" t="inlineStr">
        <is>
          <t>2005-03-22</t>
        </is>
      </c>
      <c r="X537" t="inlineStr">
        <is>
          <t>2005-03-22</t>
        </is>
      </c>
      <c r="Y537" t="n">
        <v>349</v>
      </c>
      <c r="Z537" t="n">
        <v>234</v>
      </c>
      <c r="AA537" t="n">
        <v>350</v>
      </c>
      <c r="AB537" t="n">
        <v>3</v>
      </c>
      <c r="AC537" t="n">
        <v>3</v>
      </c>
      <c r="AD537" t="n">
        <v>13</v>
      </c>
      <c r="AE537" t="n">
        <v>17</v>
      </c>
      <c r="AF537" t="n">
        <v>4</v>
      </c>
      <c r="AG537" t="n">
        <v>5</v>
      </c>
      <c r="AH537" t="n">
        <v>6</v>
      </c>
      <c r="AI537" t="n">
        <v>7</v>
      </c>
      <c r="AJ537" t="n">
        <v>4</v>
      </c>
      <c r="AK537" t="n">
        <v>6</v>
      </c>
      <c r="AL537" t="n">
        <v>2</v>
      </c>
      <c r="AM537" t="n">
        <v>2</v>
      </c>
      <c r="AN537" t="n">
        <v>1</v>
      </c>
      <c r="AO537" t="n">
        <v>2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HYPERLINK("http://catalog.hathitrust.org/Record/004295053","HathiTrust Record")</f>
        <v/>
      </c>
      <c r="AS537">
        <f>HYPERLINK("https://creighton-primo.hosted.exlibrisgroup.com/primo-explore/search?tab=default_tab&amp;search_scope=EVERYTHING&amp;vid=01CRU&amp;lang=en_US&amp;offset=0&amp;query=any,contains,991004500189702656","Catalog Record")</f>
        <v/>
      </c>
      <c r="AT537">
        <f>HYPERLINK("http://www.worldcat.org/oclc/50348290","WorldCat Record")</f>
        <v/>
      </c>
      <c r="AU537" t="inlineStr">
        <is>
          <t>946807:eng</t>
        </is>
      </c>
      <c r="AV537" t="inlineStr">
        <is>
          <t>50348290</t>
        </is>
      </c>
      <c r="AW537" t="inlineStr">
        <is>
          <t>991004500189702656</t>
        </is>
      </c>
      <c r="AX537" t="inlineStr">
        <is>
          <t>991004500189702656</t>
        </is>
      </c>
      <c r="AY537" t="inlineStr">
        <is>
          <t>2260135480002656</t>
        </is>
      </c>
      <c r="AZ537" t="inlineStr">
        <is>
          <t>BOOK</t>
        </is>
      </c>
      <c r="BB537" t="inlineStr">
        <is>
          <t>9780761924043</t>
        </is>
      </c>
      <c r="BC537" t="inlineStr">
        <is>
          <t>32285005043608</t>
        </is>
      </c>
      <c r="BD537" t="inlineStr">
        <is>
          <t>893436352</t>
        </is>
      </c>
    </row>
    <row r="538">
      <c r="A538" t="inlineStr">
        <is>
          <t>No</t>
        </is>
      </c>
      <c r="B538" t="inlineStr">
        <is>
          <t>HV6431 .G856 2008</t>
        </is>
      </c>
      <c r="C538" t="inlineStr">
        <is>
          <t>0                      HV 6431000G  856         2008</t>
        </is>
      </c>
      <c r="D538" t="inlineStr">
        <is>
          <t>Understanding terrorism and political violence : the life cycle of birth, growth, transformation, and demise / Dipak K. Gupta.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Gupta, Dipak K.</t>
        </is>
      </c>
      <c r="L538" t="inlineStr">
        <is>
          <t>London ; New York : Routledge, 2008.</t>
        </is>
      </c>
      <c r="M538" t="inlineStr">
        <is>
          <t>2008</t>
        </is>
      </c>
      <c r="O538" t="inlineStr">
        <is>
          <t>eng</t>
        </is>
      </c>
      <c r="P538" t="inlineStr">
        <is>
          <t>enk</t>
        </is>
      </c>
      <c r="Q538" t="inlineStr">
        <is>
          <t>Political violence</t>
        </is>
      </c>
      <c r="R538" t="inlineStr">
        <is>
          <t xml:space="preserve">HV </t>
        </is>
      </c>
      <c r="S538" t="n">
        <v>1</v>
      </c>
      <c r="T538" t="n">
        <v>1</v>
      </c>
      <c r="U538" t="inlineStr">
        <is>
          <t>2009-06-16</t>
        </is>
      </c>
      <c r="V538" t="inlineStr">
        <is>
          <t>2009-06-16</t>
        </is>
      </c>
      <c r="W538" t="inlineStr">
        <is>
          <t>2009-06-16</t>
        </is>
      </c>
      <c r="X538" t="inlineStr">
        <is>
          <t>2009-06-16</t>
        </is>
      </c>
      <c r="Y538" t="n">
        <v>376</v>
      </c>
      <c r="Z538" t="n">
        <v>246</v>
      </c>
      <c r="AA538" t="n">
        <v>608</v>
      </c>
      <c r="AB538" t="n">
        <v>2</v>
      </c>
      <c r="AC538" t="n">
        <v>14</v>
      </c>
      <c r="AD538" t="n">
        <v>17</v>
      </c>
      <c r="AE538" t="n">
        <v>30</v>
      </c>
      <c r="AF538" t="n">
        <v>10</v>
      </c>
      <c r="AG538" t="n">
        <v>14</v>
      </c>
      <c r="AH538" t="n">
        <v>3</v>
      </c>
      <c r="AI538" t="n">
        <v>4</v>
      </c>
      <c r="AJ538" t="n">
        <v>10</v>
      </c>
      <c r="AK538" t="n">
        <v>11</v>
      </c>
      <c r="AL538" t="n">
        <v>1</v>
      </c>
      <c r="AM538" t="n">
        <v>9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HYPERLINK("https://creighton-primo.hosted.exlibrisgroup.com/primo-explore/search?tab=default_tab&amp;search_scope=EVERYTHING&amp;vid=01CRU&amp;lang=en_US&amp;offset=0&amp;query=any,contains,991005320829702656","Catalog Record")</f>
        <v/>
      </c>
      <c r="AT538">
        <f>HYPERLINK("http://www.worldcat.org/oclc/171287624","WorldCat Record")</f>
        <v/>
      </c>
      <c r="AU538" t="inlineStr">
        <is>
          <t>802839025:eng</t>
        </is>
      </c>
      <c r="AV538" t="inlineStr">
        <is>
          <t>171287624</t>
        </is>
      </c>
      <c r="AW538" t="inlineStr">
        <is>
          <t>991005320829702656</t>
        </is>
      </c>
      <c r="AX538" t="inlineStr">
        <is>
          <t>991005320829702656</t>
        </is>
      </c>
      <c r="AY538" t="inlineStr">
        <is>
          <t>2263295810002656</t>
        </is>
      </c>
      <c r="AZ538" t="inlineStr">
        <is>
          <t>BOOK</t>
        </is>
      </c>
      <c r="BB538" t="inlineStr">
        <is>
          <t>9780415771641</t>
        </is>
      </c>
      <c r="BC538" t="inlineStr">
        <is>
          <t>32285005535082</t>
        </is>
      </c>
      <c r="BD538" t="inlineStr">
        <is>
          <t>893808192</t>
        </is>
      </c>
    </row>
    <row r="539">
      <c r="A539" t="inlineStr">
        <is>
          <t>No</t>
        </is>
      </c>
      <c r="B539" t="inlineStr">
        <is>
          <t>HV6431 .H364 2007</t>
        </is>
      </c>
      <c r="C539" t="inlineStr">
        <is>
          <t>0                      HV 6431000H  364         2007</t>
        </is>
      </c>
      <c r="D539" t="inlineStr">
        <is>
          <t>Terrorism as crime : from Oklahoma City to Al-Qaeda and beyond / Mark S. Hamm.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Hamm, Mark S.</t>
        </is>
      </c>
      <c r="L539" t="inlineStr">
        <is>
          <t>New York : New York University Press, c2007.</t>
        </is>
      </c>
      <c r="M539" t="inlineStr">
        <is>
          <t>2007</t>
        </is>
      </c>
      <c r="O539" t="inlineStr">
        <is>
          <t>eng</t>
        </is>
      </c>
      <c r="P539" t="inlineStr">
        <is>
          <t>nyu</t>
        </is>
      </c>
      <c r="Q539" t="inlineStr">
        <is>
          <t>Alternative criminology series</t>
        </is>
      </c>
      <c r="R539" t="inlineStr">
        <is>
          <t xml:space="preserve">HV </t>
        </is>
      </c>
      <c r="S539" t="n">
        <v>2</v>
      </c>
      <c r="T539" t="n">
        <v>2</v>
      </c>
      <c r="U539" t="inlineStr">
        <is>
          <t>2010-03-28</t>
        </is>
      </c>
      <c r="V539" t="inlineStr">
        <is>
          <t>2010-03-28</t>
        </is>
      </c>
      <c r="W539" t="inlineStr">
        <is>
          <t>2007-12-04</t>
        </is>
      </c>
      <c r="X539" t="inlineStr">
        <is>
          <t>2007-12-04</t>
        </is>
      </c>
      <c r="Y539" t="n">
        <v>590</v>
      </c>
      <c r="Z539" t="n">
        <v>530</v>
      </c>
      <c r="AA539" t="n">
        <v>878</v>
      </c>
      <c r="AB539" t="n">
        <v>2</v>
      </c>
      <c r="AC539" t="n">
        <v>5</v>
      </c>
      <c r="AD539" t="n">
        <v>21</v>
      </c>
      <c r="AE539" t="n">
        <v>39</v>
      </c>
      <c r="AF539" t="n">
        <v>9</v>
      </c>
      <c r="AG539" t="n">
        <v>15</v>
      </c>
      <c r="AH539" t="n">
        <v>4</v>
      </c>
      <c r="AI539" t="n">
        <v>9</v>
      </c>
      <c r="AJ539" t="n">
        <v>12</v>
      </c>
      <c r="AK539" t="n">
        <v>17</v>
      </c>
      <c r="AL539" t="n">
        <v>1</v>
      </c>
      <c r="AM539" t="n">
        <v>4</v>
      </c>
      <c r="AN539" t="n">
        <v>3</v>
      </c>
      <c r="AO539" t="n">
        <v>4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HYPERLINK("https://creighton-primo.hosted.exlibrisgroup.com/primo-explore/search?tab=default_tab&amp;search_scope=EVERYTHING&amp;vid=01CRU&amp;lang=en_US&amp;offset=0&amp;query=any,contains,991005148149702656","Catalog Record")</f>
        <v/>
      </c>
      <c r="AT539">
        <f>HYPERLINK("http://www.worldcat.org/oclc/71329875","WorldCat Record")</f>
        <v/>
      </c>
      <c r="AU539" t="inlineStr">
        <is>
          <t>864922612:eng</t>
        </is>
      </c>
      <c r="AV539" t="inlineStr">
        <is>
          <t>71329875</t>
        </is>
      </c>
      <c r="AW539" t="inlineStr">
        <is>
          <t>991005148149702656</t>
        </is>
      </c>
      <c r="AX539" t="inlineStr">
        <is>
          <t>991005148149702656</t>
        </is>
      </c>
      <c r="AY539" t="inlineStr">
        <is>
          <t>2266787800002656</t>
        </is>
      </c>
      <c r="AZ539" t="inlineStr">
        <is>
          <t>BOOK</t>
        </is>
      </c>
      <c r="BB539" t="inlineStr">
        <is>
          <t>9780814736951</t>
        </is>
      </c>
      <c r="BC539" t="inlineStr">
        <is>
          <t>32285005369573</t>
        </is>
      </c>
      <c r="BD539" t="inlineStr">
        <is>
          <t>893332474</t>
        </is>
      </c>
    </row>
    <row r="540">
      <c r="A540" t="inlineStr">
        <is>
          <t>No</t>
        </is>
      </c>
      <c r="B540" t="inlineStr">
        <is>
          <t>HV6431 .I477 2008</t>
        </is>
      </c>
      <c r="C540" t="inlineStr">
        <is>
          <t>0                      HV 6431000I  477         2008</t>
        </is>
      </c>
      <c r="D540" t="inlineStr">
        <is>
          <t>Responding to terrorism : political, philosophical and legal perspectives / Robert Imre, T. Brian Mooney, Benjamin Clarke.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Imre, Robert.</t>
        </is>
      </c>
      <c r="L540" t="inlineStr">
        <is>
          <t>Aldershot, Hampshire, England ; Burlington, VT : Ashgate, c2008.</t>
        </is>
      </c>
      <c r="M540" t="inlineStr">
        <is>
          <t>2008</t>
        </is>
      </c>
      <c r="O540" t="inlineStr">
        <is>
          <t>eng</t>
        </is>
      </c>
      <c r="P540" t="inlineStr">
        <is>
          <t>enk</t>
        </is>
      </c>
      <c r="R540" t="inlineStr">
        <is>
          <t xml:space="preserve">HV </t>
        </is>
      </c>
      <c r="S540" t="n">
        <v>2</v>
      </c>
      <c r="T540" t="n">
        <v>2</v>
      </c>
      <c r="U540" t="inlineStr">
        <is>
          <t>2009-03-25</t>
        </is>
      </c>
      <c r="V540" t="inlineStr">
        <is>
          <t>2009-03-25</t>
        </is>
      </c>
      <c r="W540" t="inlineStr">
        <is>
          <t>2009-03-11</t>
        </is>
      </c>
      <c r="X540" t="inlineStr">
        <is>
          <t>2009-03-11</t>
        </is>
      </c>
      <c r="Y540" t="n">
        <v>402</v>
      </c>
      <c r="Z540" t="n">
        <v>275</v>
      </c>
      <c r="AA540" t="n">
        <v>636</v>
      </c>
      <c r="AB540" t="n">
        <v>1</v>
      </c>
      <c r="AC540" t="n">
        <v>3</v>
      </c>
      <c r="AD540" t="n">
        <v>14</v>
      </c>
      <c r="AE540" t="n">
        <v>16</v>
      </c>
      <c r="AF540" t="n">
        <v>6</v>
      </c>
      <c r="AG540" t="n">
        <v>6</v>
      </c>
      <c r="AH540" t="n">
        <v>2</v>
      </c>
      <c r="AI540" t="n">
        <v>2</v>
      </c>
      <c r="AJ540" t="n">
        <v>6</v>
      </c>
      <c r="AK540" t="n">
        <v>6</v>
      </c>
      <c r="AL540" t="n">
        <v>0</v>
      </c>
      <c r="AM540" t="n">
        <v>2</v>
      </c>
      <c r="AN540" t="n">
        <v>4</v>
      </c>
      <c r="AO540" t="n">
        <v>4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HYPERLINK("http://catalog.hathitrust.org/Record/005863915","HathiTrust Record")</f>
        <v/>
      </c>
      <c r="AS540">
        <f>HYPERLINK("https://creighton-primo.hosted.exlibrisgroup.com/primo-explore/search?tab=default_tab&amp;search_scope=EVERYTHING&amp;vid=01CRU&amp;lang=en_US&amp;offset=0&amp;query=any,contains,991005300089702656","Catalog Record")</f>
        <v/>
      </c>
      <c r="AT540">
        <f>HYPERLINK("http://www.worldcat.org/oclc/174138848","WorldCat Record")</f>
        <v/>
      </c>
      <c r="AU540" t="inlineStr">
        <is>
          <t>800625754:eng</t>
        </is>
      </c>
      <c r="AV540" t="inlineStr">
        <is>
          <t>174138848</t>
        </is>
      </c>
      <c r="AW540" t="inlineStr">
        <is>
          <t>991005300089702656</t>
        </is>
      </c>
      <c r="AX540" t="inlineStr">
        <is>
          <t>991005300089702656</t>
        </is>
      </c>
      <c r="AY540" t="inlineStr">
        <is>
          <t>2266182110002656</t>
        </is>
      </c>
      <c r="AZ540" t="inlineStr">
        <is>
          <t>BOOK</t>
        </is>
      </c>
      <c r="BB540" t="inlineStr">
        <is>
          <t>9780754672777</t>
        </is>
      </c>
      <c r="BC540" t="inlineStr">
        <is>
          <t>32285005508006</t>
        </is>
      </c>
      <c r="BD540" t="inlineStr">
        <is>
          <t>893613477</t>
        </is>
      </c>
    </row>
    <row r="541">
      <c r="A541" t="inlineStr">
        <is>
          <t>No</t>
        </is>
      </c>
      <c r="B541" t="inlineStr">
        <is>
          <t>HV6431 .I56</t>
        </is>
      </c>
      <c r="C541" t="inlineStr">
        <is>
          <t>0                      HV 6431000I  56</t>
        </is>
      </c>
      <c r="D541" t="inlineStr">
        <is>
          <t>International terrorism in the contemporary world / edited by Marius H. Livingston with Lee Bruce Kress and Marie G. Wanek. --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Westport, Conn. : Greenwood Press, 1978.</t>
        </is>
      </c>
      <c r="M541" t="inlineStr">
        <is>
          <t>1978</t>
        </is>
      </c>
      <c r="O541" t="inlineStr">
        <is>
          <t>eng</t>
        </is>
      </c>
      <c r="P541" t="inlineStr">
        <is>
          <t>ctu</t>
        </is>
      </c>
      <c r="Q541" t="inlineStr">
        <is>
          <t>Contributions in political science, 0147-1066 ; no. 3</t>
        </is>
      </c>
      <c r="R541" t="inlineStr">
        <is>
          <t xml:space="preserve">HV </t>
        </is>
      </c>
      <c r="S541" t="n">
        <v>8</v>
      </c>
      <c r="T541" t="n">
        <v>8</v>
      </c>
      <c r="U541" t="inlineStr">
        <is>
          <t>2007-06-21</t>
        </is>
      </c>
      <c r="V541" t="inlineStr">
        <is>
          <t>2007-06-21</t>
        </is>
      </c>
      <c r="W541" t="inlineStr">
        <is>
          <t>1990-07-06</t>
        </is>
      </c>
      <c r="X541" t="inlineStr">
        <is>
          <t>1990-07-06</t>
        </is>
      </c>
      <c r="Y541" t="n">
        <v>691</v>
      </c>
      <c r="Z541" t="n">
        <v>534</v>
      </c>
      <c r="AA541" t="n">
        <v>839</v>
      </c>
      <c r="AB541" t="n">
        <v>4</v>
      </c>
      <c r="AC541" t="n">
        <v>6</v>
      </c>
      <c r="AD541" t="n">
        <v>26</v>
      </c>
      <c r="AE541" t="n">
        <v>31</v>
      </c>
      <c r="AF541" t="n">
        <v>4</v>
      </c>
      <c r="AG541" t="n">
        <v>7</v>
      </c>
      <c r="AH541" t="n">
        <v>6</v>
      </c>
      <c r="AI541" t="n">
        <v>6</v>
      </c>
      <c r="AJ541" t="n">
        <v>10</v>
      </c>
      <c r="AK541" t="n">
        <v>11</v>
      </c>
      <c r="AL541" t="n">
        <v>3</v>
      </c>
      <c r="AM541" t="n">
        <v>5</v>
      </c>
      <c r="AN541" t="n">
        <v>8</v>
      </c>
      <c r="AO541" t="n">
        <v>8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HYPERLINK("https://creighton-primo.hosted.exlibrisgroup.com/primo-explore/search?tab=default_tab&amp;search_scope=EVERYTHING&amp;vid=01CRU&amp;lang=en_US&amp;offset=0&amp;query=any,contains,991004482709702656","Catalog Record")</f>
        <v/>
      </c>
      <c r="AT541">
        <f>HYPERLINK("http://www.worldcat.org/oclc/3630403","WorldCat Record")</f>
        <v/>
      </c>
      <c r="AU541" t="inlineStr">
        <is>
          <t>575317756:eng</t>
        </is>
      </c>
      <c r="AV541" t="inlineStr">
        <is>
          <t>3630403</t>
        </is>
      </c>
      <c r="AW541" t="inlineStr">
        <is>
          <t>991004482709702656</t>
        </is>
      </c>
      <c r="AX541" t="inlineStr">
        <is>
          <t>991004482709702656</t>
        </is>
      </c>
      <c r="AY541" t="inlineStr">
        <is>
          <t>2258626180002656</t>
        </is>
      </c>
      <c r="AZ541" t="inlineStr">
        <is>
          <t>BOOK</t>
        </is>
      </c>
      <c r="BB541" t="inlineStr">
        <is>
          <t>9780837198842</t>
        </is>
      </c>
      <c r="BC541" t="inlineStr">
        <is>
          <t>32285000225986</t>
        </is>
      </c>
      <c r="BD541" t="inlineStr">
        <is>
          <t>893430108</t>
        </is>
      </c>
    </row>
    <row r="542">
      <c r="A542" t="inlineStr">
        <is>
          <t>No</t>
        </is>
      </c>
      <c r="B542" t="inlineStr">
        <is>
          <t>HV6431 .I57</t>
        </is>
      </c>
      <c r="C542" t="inlineStr">
        <is>
          <t>0                      HV 6431000I  57</t>
        </is>
      </c>
      <c r="D542" t="inlineStr">
        <is>
          <t>International terrorism : national, regional, and global perspectives / edited by Yonah Alexander ; foreword by Arthur J. Goldberg.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New York : Praeger, 1976.</t>
        </is>
      </c>
      <c r="M542" t="inlineStr">
        <is>
          <t>1976</t>
        </is>
      </c>
      <c r="O542" t="inlineStr">
        <is>
          <t>eng</t>
        </is>
      </c>
      <c r="P542" t="inlineStr">
        <is>
          <t>nyu</t>
        </is>
      </c>
      <c r="Q542" t="inlineStr">
        <is>
          <t>Praeger special studies in international politics and government</t>
        </is>
      </c>
      <c r="R542" t="inlineStr">
        <is>
          <t xml:space="preserve">HV </t>
        </is>
      </c>
      <c r="S542" t="n">
        <v>5</v>
      </c>
      <c r="T542" t="n">
        <v>5</v>
      </c>
      <c r="U542" t="inlineStr">
        <is>
          <t>2005-10-30</t>
        </is>
      </c>
      <c r="V542" t="inlineStr">
        <is>
          <t>2005-10-30</t>
        </is>
      </c>
      <c r="W542" t="inlineStr">
        <is>
          <t>1997-08-22</t>
        </is>
      </c>
      <c r="X542" t="inlineStr">
        <is>
          <t>1997-08-22</t>
        </is>
      </c>
      <c r="Y542" t="n">
        <v>785</v>
      </c>
      <c r="Z542" t="n">
        <v>612</v>
      </c>
      <c r="AA542" t="n">
        <v>618</v>
      </c>
      <c r="AB542" t="n">
        <v>8</v>
      </c>
      <c r="AC542" t="n">
        <v>8</v>
      </c>
      <c r="AD542" t="n">
        <v>38</v>
      </c>
      <c r="AE542" t="n">
        <v>38</v>
      </c>
      <c r="AF542" t="n">
        <v>11</v>
      </c>
      <c r="AG542" t="n">
        <v>11</v>
      </c>
      <c r="AH542" t="n">
        <v>7</v>
      </c>
      <c r="AI542" t="n">
        <v>7</v>
      </c>
      <c r="AJ542" t="n">
        <v>14</v>
      </c>
      <c r="AK542" t="n">
        <v>14</v>
      </c>
      <c r="AL542" t="n">
        <v>7</v>
      </c>
      <c r="AM542" t="n">
        <v>7</v>
      </c>
      <c r="AN542" t="n">
        <v>6</v>
      </c>
      <c r="AO542" t="n">
        <v>6</v>
      </c>
      <c r="AP542" t="inlineStr">
        <is>
          <t>No</t>
        </is>
      </c>
      <c r="AQ542" t="inlineStr">
        <is>
          <t>No</t>
        </is>
      </c>
      <c r="AS542">
        <f>HYPERLINK("https://creighton-primo.hosted.exlibrisgroup.com/primo-explore/search?tab=default_tab&amp;search_scope=EVERYTHING&amp;vid=01CRU&amp;lang=en_US&amp;offset=0&amp;query=any,contains,991003964719702656","Catalog Record")</f>
        <v/>
      </c>
      <c r="AT542">
        <f>HYPERLINK("http://www.worldcat.org/oclc/1979460","WorldCat Record")</f>
        <v/>
      </c>
      <c r="AU542" t="inlineStr">
        <is>
          <t>808857756:eng</t>
        </is>
      </c>
      <c r="AV542" t="inlineStr">
        <is>
          <t>1979460</t>
        </is>
      </c>
      <c r="AW542" t="inlineStr">
        <is>
          <t>991003964719702656</t>
        </is>
      </c>
      <c r="AX542" t="inlineStr">
        <is>
          <t>991003964719702656</t>
        </is>
      </c>
      <c r="AY542" t="inlineStr">
        <is>
          <t>2265299840002656</t>
        </is>
      </c>
      <c r="AZ542" t="inlineStr">
        <is>
          <t>BOOK</t>
        </is>
      </c>
      <c r="BB542" t="inlineStr">
        <is>
          <t>9780275094805</t>
        </is>
      </c>
      <c r="BC542" t="inlineStr">
        <is>
          <t>32285003158218</t>
        </is>
      </c>
      <c r="BD542" t="inlineStr">
        <is>
          <t>893627913</t>
        </is>
      </c>
    </row>
    <row r="543">
      <c r="A543" t="inlineStr">
        <is>
          <t>No</t>
        </is>
      </c>
      <c r="B543" t="inlineStr">
        <is>
          <t>HV6431 .I768 2005</t>
        </is>
      </c>
      <c r="C543" t="inlineStr">
        <is>
          <t>0                      HV 6431000I  768         2005</t>
        </is>
      </c>
      <c r="D543" t="inlineStr">
        <is>
          <t>The Islam/West debate : documents from a global debate on terrorism, U.S. policy, and the Middle East / edited by David Blankenhorn ... [et al.].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Lanham, Md. : Rowman &amp; Littlefield, c2005.</t>
        </is>
      </c>
      <c r="M543" t="inlineStr">
        <is>
          <t>2005</t>
        </is>
      </c>
      <c r="O543" t="inlineStr">
        <is>
          <t>eng</t>
        </is>
      </c>
      <c r="P543" t="inlineStr">
        <is>
          <t>mdu</t>
        </is>
      </c>
      <c r="R543" t="inlineStr">
        <is>
          <t xml:space="preserve">HV </t>
        </is>
      </c>
      <c r="S543" t="n">
        <v>2</v>
      </c>
      <c r="T543" t="n">
        <v>2</v>
      </c>
      <c r="U543" t="inlineStr">
        <is>
          <t>2006-10-27</t>
        </is>
      </c>
      <c r="V543" t="inlineStr">
        <is>
          <t>2006-10-27</t>
        </is>
      </c>
      <c r="W543" t="inlineStr">
        <is>
          <t>2006-09-26</t>
        </is>
      </c>
      <c r="X543" t="inlineStr">
        <is>
          <t>2006-09-26</t>
        </is>
      </c>
      <c r="Y543" t="n">
        <v>220</v>
      </c>
      <c r="Z543" t="n">
        <v>172</v>
      </c>
      <c r="AA543" t="n">
        <v>189</v>
      </c>
      <c r="AB543" t="n">
        <v>2</v>
      </c>
      <c r="AC543" t="n">
        <v>2</v>
      </c>
      <c r="AD543" t="n">
        <v>10</v>
      </c>
      <c r="AE543" t="n">
        <v>11</v>
      </c>
      <c r="AF543" t="n">
        <v>4</v>
      </c>
      <c r="AG543" t="n">
        <v>5</v>
      </c>
      <c r="AH543" t="n">
        <v>4</v>
      </c>
      <c r="AI543" t="n">
        <v>5</v>
      </c>
      <c r="AJ543" t="n">
        <v>4</v>
      </c>
      <c r="AK543" t="n">
        <v>4</v>
      </c>
      <c r="AL543" t="n">
        <v>1</v>
      </c>
      <c r="AM543" t="n">
        <v>1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HYPERLINK("https://creighton-primo.hosted.exlibrisgroup.com/primo-explore/search?tab=default_tab&amp;search_scope=EVERYTHING&amp;vid=01CRU&amp;lang=en_US&amp;offset=0&amp;query=any,contains,991004911389702656","Catalog Record")</f>
        <v/>
      </c>
      <c r="AT543">
        <f>HYPERLINK("http://www.worldcat.org/oclc/61261207","WorldCat Record")</f>
        <v/>
      </c>
      <c r="AU543" t="inlineStr">
        <is>
          <t>957087646:eng</t>
        </is>
      </c>
      <c r="AV543" t="inlineStr">
        <is>
          <t>61261207</t>
        </is>
      </c>
      <c r="AW543" t="inlineStr">
        <is>
          <t>991004911389702656</t>
        </is>
      </c>
      <c r="AX543" t="inlineStr">
        <is>
          <t>991004911389702656</t>
        </is>
      </c>
      <c r="AY543" t="inlineStr">
        <is>
          <t>2266952440002656</t>
        </is>
      </c>
      <c r="AZ543" t="inlineStr">
        <is>
          <t>BOOK</t>
        </is>
      </c>
      <c r="BB543" t="inlineStr">
        <is>
          <t>9780742550063</t>
        </is>
      </c>
      <c r="BC543" t="inlineStr">
        <is>
          <t>32285005225726</t>
        </is>
      </c>
      <c r="BD543" t="inlineStr">
        <is>
          <t>893776568</t>
        </is>
      </c>
    </row>
    <row r="544">
      <c r="A544" t="inlineStr">
        <is>
          <t>No</t>
        </is>
      </c>
      <c r="B544" t="inlineStr">
        <is>
          <t>HV6431 .J46 2003</t>
        </is>
      </c>
      <c r="C544" t="inlineStr">
        <is>
          <t>0                      HV 6431000J  46          2003</t>
        </is>
      </c>
      <c r="D544" t="inlineStr">
        <is>
          <t>Images of terror : what we can and can't know about terrorism / Philip Jenkins.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Jenkins, Philip, 1952-</t>
        </is>
      </c>
      <c r="L544" t="inlineStr">
        <is>
          <t>New York : Aldine de Gruyter, c2003.</t>
        </is>
      </c>
      <c r="M544" t="inlineStr">
        <is>
          <t>2003</t>
        </is>
      </c>
      <c r="O544" t="inlineStr">
        <is>
          <t>eng</t>
        </is>
      </c>
      <c r="P544" t="inlineStr">
        <is>
          <t>nyu</t>
        </is>
      </c>
      <c r="Q544" t="inlineStr">
        <is>
          <t>Social problems and social issues</t>
        </is>
      </c>
      <c r="R544" t="inlineStr">
        <is>
          <t xml:space="preserve">HV </t>
        </is>
      </c>
      <c r="S544" t="n">
        <v>3</v>
      </c>
      <c r="T544" t="n">
        <v>3</v>
      </c>
      <c r="U544" t="inlineStr">
        <is>
          <t>2008-08-12</t>
        </is>
      </c>
      <c r="V544" t="inlineStr">
        <is>
          <t>2008-08-12</t>
        </is>
      </c>
      <c r="W544" t="inlineStr">
        <is>
          <t>2004-10-06</t>
        </is>
      </c>
      <c r="X544" t="inlineStr">
        <is>
          <t>2004-10-06</t>
        </is>
      </c>
      <c r="Y544" t="n">
        <v>637</v>
      </c>
      <c r="Z544" t="n">
        <v>545</v>
      </c>
      <c r="AA544" t="n">
        <v>1126</v>
      </c>
      <c r="AB544" t="n">
        <v>4</v>
      </c>
      <c r="AC544" t="n">
        <v>25</v>
      </c>
      <c r="AD544" t="n">
        <v>22</v>
      </c>
      <c r="AE544" t="n">
        <v>34</v>
      </c>
      <c r="AF544" t="n">
        <v>9</v>
      </c>
      <c r="AG544" t="n">
        <v>12</v>
      </c>
      <c r="AH544" t="n">
        <v>6</v>
      </c>
      <c r="AI544" t="n">
        <v>7</v>
      </c>
      <c r="AJ544" t="n">
        <v>10</v>
      </c>
      <c r="AK544" t="n">
        <v>13</v>
      </c>
      <c r="AL544" t="n">
        <v>3</v>
      </c>
      <c r="AM544" t="n">
        <v>10</v>
      </c>
      <c r="AN544" t="n">
        <v>1</v>
      </c>
      <c r="AO544" t="n">
        <v>1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HYPERLINK("https://creighton-primo.hosted.exlibrisgroup.com/primo-explore/search?tab=default_tab&amp;search_scope=EVERYTHING&amp;vid=01CRU&amp;lang=en_US&amp;offset=0&amp;query=any,contains,991004363949702656","Catalog Record")</f>
        <v/>
      </c>
      <c r="AT544">
        <f>HYPERLINK("http://www.worldcat.org/oclc/50448089","WorldCat Record")</f>
        <v/>
      </c>
      <c r="AU544" t="inlineStr">
        <is>
          <t>795427366:eng</t>
        </is>
      </c>
      <c r="AV544" t="inlineStr">
        <is>
          <t>50448089</t>
        </is>
      </c>
      <c r="AW544" t="inlineStr">
        <is>
          <t>991004363949702656</t>
        </is>
      </c>
      <c r="AX544" t="inlineStr">
        <is>
          <t>991004363949702656</t>
        </is>
      </c>
      <c r="AY544" t="inlineStr">
        <is>
          <t>2271094830002656</t>
        </is>
      </c>
      <c r="AZ544" t="inlineStr">
        <is>
          <t>BOOK</t>
        </is>
      </c>
      <c r="BB544" t="inlineStr">
        <is>
          <t>9780202306780</t>
        </is>
      </c>
      <c r="BC544" t="inlineStr">
        <is>
          <t>32285005001226</t>
        </is>
      </c>
      <c r="BD544" t="inlineStr">
        <is>
          <t>893800892</t>
        </is>
      </c>
    </row>
    <row r="545">
      <c r="A545" t="inlineStr">
        <is>
          <t>No</t>
        </is>
      </c>
      <c r="B545" t="inlineStr">
        <is>
          <t>HV6431 .L36</t>
        </is>
      </c>
      <c r="C545" t="inlineStr">
        <is>
          <t>0                      HV 6431000L  36</t>
        </is>
      </c>
      <c r="D545" t="inlineStr">
        <is>
          <t>Terrorism / Walter Laqueur.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Laqueur, Walter, 1921-2018.</t>
        </is>
      </c>
      <c r="L545" t="inlineStr">
        <is>
          <t>Boston : Little, Brown, c1977.</t>
        </is>
      </c>
      <c r="M545" t="inlineStr">
        <is>
          <t>1977</t>
        </is>
      </c>
      <c r="N545" t="inlineStr">
        <is>
          <t>1st ed.</t>
        </is>
      </c>
      <c r="O545" t="inlineStr">
        <is>
          <t>eng</t>
        </is>
      </c>
      <c r="P545" t="inlineStr">
        <is>
          <t>mau</t>
        </is>
      </c>
      <c r="R545" t="inlineStr">
        <is>
          <t xml:space="preserve">HV </t>
        </is>
      </c>
      <c r="S545" t="n">
        <v>3</v>
      </c>
      <c r="T545" t="n">
        <v>3</v>
      </c>
      <c r="U545" t="inlineStr">
        <is>
          <t>2005-06-15</t>
        </is>
      </c>
      <c r="V545" t="inlineStr">
        <is>
          <t>2005-06-15</t>
        </is>
      </c>
      <c r="W545" t="inlineStr">
        <is>
          <t>1993-12-21</t>
        </is>
      </c>
      <c r="X545" t="inlineStr">
        <is>
          <t>1993-12-21</t>
        </is>
      </c>
      <c r="Y545" t="n">
        <v>1076</v>
      </c>
      <c r="Z545" t="n">
        <v>973</v>
      </c>
      <c r="AA545" t="n">
        <v>989</v>
      </c>
      <c r="AB545" t="n">
        <v>6</v>
      </c>
      <c r="AC545" t="n">
        <v>6</v>
      </c>
      <c r="AD545" t="n">
        <v>40</v>
      </c>
      <c r="AE545" t="n">
        <v>40</v>
      </c>
      <c r="AF545" t="n">
        <v>12</v>
      </c>
      <c r="AG545" t="n">
        <v>12</v>
      </c>
      <c r="AH545" t="n">
        <v>11</v>
      </c>
      <c r="AI545" t="n">
        <v>11</v>
      </c>
      <c r="AJ545" t="n">
        <v>16</v>
      </c>
      <c r="AK545" t="n">
        <v>16</v>
      </c>
      <c r="AL545" t="n">
        <v>5</v>
      </c>
      <c r="AM545" t="n">
        <v>5</v>
      </c>
      <c r="AN545" t="n">
        <v>5</v>
      </c>
      <c r="AO545" t="n">
        <v>5</v>
      </c>
      <c r="AP545" t="inlineStr">
        <is>
          <t>No</t>
        </is>
      </c>
      <c r="AQ545" t="inlineStr">
        <is>
          <t>No</t>
        </is>
      </c>
      <c r="AS545">
        <f>HYPERLINK("https://creighton-primo.hosted.exlibrisgroup.com/primo-explore/search?tab=default_tab&amp;search_scope=EVERYTHING&amp;vid=01CRU&amp;lang=en_US&amp;offset=0&amp;query=any,contains,991004281149702656","Catalog Record")</f>
        <v/>
      </c>
      <c r="AT545">
        <f>HYPERLINK("http://www.worldcat.org/oclc/2911047","WorldCat Record")</f>
        <v/>
      </c>
      <c r="AU545" t="inlineStr">
        <is>
          <t>4633335:eng</t>
        </is>
      </c>
      <c r="AV545" t="inlineStr">
        <is>
          <t>2911047</t>
        </is>
      </c>
      <c r="AW545" t="inlineStr">
        <is>
          <t>991004281149702656</t>
        </is>
      </c>
      <c r="AX545" t="inlineStr">
        <is>
          <t>991004281149702656</t>
        </is>
      </c>
      <c r="AY545" t="inlineStr">
        <is>
          <t>2266344970002656</t>
        </is>
      </c>
      <c r="AZ545" t="inlineStr">
        <is>
          <t>BOOK</t>
        </is>
      </c>
      <c r="BB545" t="inlineStr">
        <is>
          <t>9780316514705</t>
        </is>
      </c>
      <c r="BC545" t="inlineStr">
        <is>
          <t>32285001826014</t>
        </is>
      </c>
      <c r="BD545" t="inlineStr">
        <is>
          <t>893337526</t>
        </is>
      </c>
    </row>
    <row r="546">
      <c r="A546" t="inlineStr">
        <is>
          <t>No</t>
        </is>
      </c>
      <c r="B546" t="inlineStr">
        <is>
          <t>HV6431 .L66 1990</t>
        </is>
      </c>
      <c r="C546" t="inlineStr">
        <is>
          <t>0                      HV 6431000L  66          1990</t>
        </is>
      </c>
      <c r="D546" t="inlineStr">
        <is>
          <t>The anatomy of terrorism / David E. Long.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Long, David E.</t>
        </is>
      </c>
      <c r="L546" t="inlineStr">
        <is>
          <t>New York : Free Press ; Toronto : Collier Macmillan Canada ; New York : Maxwell Macmillan International, c1990.</t>
        </is>
      </c>
      <c r="M546" t="inlineStr">
        <is>
          <t>1990</t>
        </is>
      </c>
      <c r="O546" t="inlineStr">
        <is>
          <t>eng</t>
        </is>
      </c>
      <c r="P546" t="inlineStr">
        <is>
          <t>nyu</t>
        </is>
      </c>
      <c r="R546" t="inlineStr">
        <is>
          <t xml:space="preserve">HV </t>
        </is>
      </c>
      <c r="S546" t="n">
        <v>27</v>
      </c>
      <c r="T546" t="n">
        <v>27</v>
      </c>
      <c r="U546" t="inlineStr">
        <is>
          <t>2005-10-30</t>
        </is>
      </c>
      <c r="V546" t="inlineStr">
        <is>
          <t>2005-10-30</t>
        </is>
      </c>
      <c r="W546" t="inlineStr">
        <is>
          <t>1991-03-14</t>
        </is>
      </c>
      <c r="X546" t="inlineStr">
        <is>
          <t>1991-03-14</t>
        </is>
      </c>
      <c r="Y546" t="n">
        <v>802</v>
      </c>
      <c r="Z546" t="n">
        <v>716</v>
      </c>
      <c r="AA546" t="n">
        <v>722</v>
      </c>
      <c r="AB546" t="n">
        <v>4</v>
      </c>
      <c r="AC546" t="n">
        <v>4</v>
      </c>
      <c r="AD546" t="n">
        <v>25</v>
      </c>
      <c r="AE546" t="n">
        <v>25</v>
      </c>
      <c r="AF546" t="n">
        <v>7</v>
      </c>
      <c r="AG546" t="n">
        <v>7</v>
      </c>
      <c r="AH546" t="n">
        <v>5</v>
      </c>
      <c r="AI546" t="n">
        <v>5</v>
      </c>
      <c r="AJ546" t="n">
        <v>13</v>
      </c>
      <c r="AK546" t="n">
        <v>13</v>
      </c>
      <c r="AL546" t="n">
        <v>3</v>
      </c>
      <c r="AM546" t="n">
        <v>3</v>
      </c>
      <c r="AN546" t="n">
        <v>2</v>
      </c>
      <c r="AO546" t="n">
        <v>2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HYPERLINK("https://creighton-primo.hosted.exlibrisgroup.com/primo-explore/search?tab=default_tab&amp;search_scope=EVERYTHING&amp;vid=01CRU&amp;lang=en_US&amp;offset=0&amp;query=any,contains,991001674919702656","Catalog Record")</f>
        <v/>
      </c>
      <c r="AT546">
        <f>HYPERLINK("http://www.worldcat.org/oclc/21328981","WorldCat Record")</f>
        <v/>
      </c>
      <c r="AU546" t="inlineStr">
        <is>
          <t>23297134:eng</t>
        </is>
      </c>
      <c r="AV546" t="inlineStr">
        <is>
          <t>21328981</t>
        </is>
      </c>
      <c r="AW546" t="inlineStr">
        <is>
          <t>991001674919702656</t>
        </is>
      </c>
      <c r="AX546" t="inlineStr">
        <is>
          <t>991001674919702656</t>
        </is>
      </c>
      <c r="AY546" t="inlineStr">
        <is>
          <t>2262557500002656</t>
        </is>
      </c>
      <c r="AZ546" t="inlineStr">
        <is>
          <t>BOOK</t>
        </is>
      </c>
      <c r="BB546" t="inlineStr">
        <is>
          <t>9780029193457</t>
        </is>
      </c>
      <c r="BC546" t="inlineStr">
        <is>
          <t>32285000511450</t>
        </is>
      </c>
      <c r="BD546" t="inlineStr">
        <is>
          <t>893420512</t>
        </is>
      </c>
    </row>
    <row r="547">
      <c r="A547" t="inlineStr">
        <is>
          <t>No</t>
        </is>
      </c>
      <c r="B547" t="inlineStr">
        <is>
          <t>HV6431 .M378 2004</t>
        </is>
      </c>
      <c r="C547" t="inlineStr">
        <is>
          <t>0                      HV 6431000M  378         2004</t>
        </is>
      </c>
      <c r="D547" t="inlineStr">
        <is>
          <t>Lockerbie and Libya : a study in international relations / Khalil I. Matar and Robert W. Thabit.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Matar, Khalil I., 1960-</t>
        </is>
      </c>
      <c r="L547" t="inlineStr">
        <is>
          <t>Jefferson, N.C. : McFarland &amp; Co., c2004.</t>
        </is>
      </c>
      <c r="M547" t="inlineStr">
        <is>
          <t>2004</t>
        </is>
      </c>
      <c r="O547" t="inlineStr">
        <is>
          <t>eng</t>
        </is>
      </c>
      <c r="P547" t="inlineStr">
        <is>
          <t>ncu</t>
        </is>
      </c>
      <c r="R547" t="inlineStr">
        <is>
          <t xml:space="preserve">HV </t>
        </is>
      </c>
      <c r="S547" t="n">
        <v>4</v>
      </c>
      <c r="T547" t="n">
        <v>4</v>
      </c>
      <c r="U547" t="inlineStr">
        <is>
          <t>2006-02-05</t>
        </is>
      </c>
      <c r="V547" t="inlineStr">
        <is>
          <t>2006-02-05</t>
        </is>
      </c>
      <c r="W547" t="inlineStr">
        <is>
          <t>2005-02-28</t>
        </is>
      </c>
      <c r="X547" t="inlineStr">
        <is>
          <t>2005-02-28</t>
        </is>
      </c>
      <c r="Y547" t="n">
        <v>318</v>
      </c>
      <c r="Z547" t="n">
        <v>260</v>
      </c>
      <c r="AA547" t="n">
        <v>261</v>
      </c>
      <c r="AB547" t="n">
        <v>2</v>
      </c>
      <c r="AC547" t="n">
        <v>2</v>
      </c>
      <c r="AD547" t="n">
        <v>15</v>
      </c>
      <c r="AE547" t="n">
        <v>15</v>
      </c>
      <c r="AF547" t="n">
        <v>6</v>
      </c>
      <c r="AG547" t="n">
        <v>6</v>
      </c>
      <c r="AH547" t="n">
        <v>3</v>
      </c>
      <c r="AI547" t="n">
        <v>3</v>
      </c>
      <c r="AJ547" t="n">
        <v>8</v>
      </c>
      <c r="AK547" t="n">
        <v>8</v>
      </c>
      <c r="AL547" t="n">
        <v>1</v>
      </c>
      <c r="AM547" t="n">
        <v>1</v>
      </c>
      <c r="AN547" t="n">
        <v>1</v>
      </c>
      <c r="AO547" t="n">
        <v>1</v>
      </c>
      <c r="AP547" t="inlineStr">
        <is>
          <t>No</t>
        </is>
      </c>
      <c r="AQ547" t="inlineStr">
        <is>
          <t>No</t>
        </is>
      </c>
      <c r="AS547">
        <f>HYPERLINK("https://creighton-primo.hosted.exlibrisgroup.com/primo-explore/search?tab=default_tab&amp;search_scope=EVERYTHING&amp;vid=01CRU&amp;lang=en_US&amp;offset=0&amp;query=any,contains,991004463829702656","Catalog Record")</f>
        <v/>
      </c>
      <c r="AT547">
        <f>HYPERLINK("http://www.worldcat.org/oclc/53138488","WorldCat Record")</f>
        <v/>
      </c>
      <c r="AU547" t="inlineStr">
        <is>
          <t>837838284:eng</t>
        </is>
      </c>
      <c r="AV547" t="inlineStr">
        <is>
          <t>53138488</t>
        </is>
      </c>
      <c r="AW547" t="inlineStr">
        <is>
          <t>991004463829702656</t>
        </is>
      </c>
      <c r="AX547" t="inlineStr">
        <is>
          <t>991004463829702656</t>
        </is>
      </c>
      <c r="AY547" t="inlineStr">
        <is>
          <t>2266375070002656</t>
        </is>
      </c>
      <c r="AZ547" t="inlineStr">
        <is>
          <t>BOOK</t>
        </is>
      </c>
      <c r="BB547" t="inlineStr">
        <is>
          <t>9780786416097</t>
        </is>
      </c>
      <c r="BC547" t="inlineStr">
        <is>
          <t>32285005027817</t>
        </is>
      </c>
      <c r="BD547" t="inlineStr">
        <is>
          <t>893430087</t>
        </is>
      </c>
    </row>
    <row r="548">
      <c r="A548" t="inlineStr">
        <is>
          <t>No</t>
        </is>
      </c>
      <c r="B548" t="inlineStr">
        <is>
          <t>HV6431 .N484 2004</t>
        </is>
      </c>
      <c r="C548" t="inlineStr">
        <is>
          <t>0                      HV 6431000N  484         2004</t>
        </is>
      </c>
      <c r="D548" t="inlineStr">
        <is>
          <t>The new era of terrorism : selected readings / editor,Gus Martin.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L548" t="inlineStr">
        <is>
          <t>Thousand Oaks, CA : Sage Publications, c2004.</t>
        </is>
      </c>
      <c r="M548" t="inlineStr">
        <is>
          <t>2004</t>
        </is>
      </c>
      <c r="O548" t="inlineStr">
        <is>
          <t>eng</t>
        </is>
      </c>
      <c r="P548" t="inlineStr">
        <is>
          <t>cau</t>
        </is>
      </c>
      <c r="R548" t="inlineStr">
        <is>
          <t xml:space="preserve">HV </t>
        </is>
      </c>
      <c r="S548" t="n">
        <v>3</v>
      </c>
      <c r="T548" t="n">
        <v>3</v>
      </c>
      <c r="U548" t="inlineStr">
        <is>
          <t>2004-11-14</t>
        </is>
      </c>
      <c r="V548" t="inlineStr">
        <is>
          <t>2004-11-14</t>
        </is>
      </c>
      <c r="W548" t="inlineStr">
        <is>
          <t>2004-09-29</t>
        </is>
      </c>
      <c r="X548" t="inlineStr">
        <is>
          <t>2004-09-29</t>
        </is>
      </c>
      <c r="Y548" t="n">
        <v>298</v>
      </c>
      <c r="Z548" t="n">
        <v>201</v>
      </c>
      <c r="AA548" t="n">
        <v>202</v>
      </c>
      <c r="AB548" t="n">
        <v>2</v>
      </c>
      <c r="AC548" t="n">
        <v>2</v>
      </c>
      <c r="AD548" t="n">
        <v>7</v>
      </c>
      <c r="AE548" t="n">
        <v>7</v>
      </c>
      <c r="AF548" t="n">
        <v>1</v>
      </c>
      <c r="AG548" t="n">
        <v>1</v>
      </c>
      <c r="AH548" t="n">
        <v>1</v>
      </c>
      <c r="AI548" t="n">
        <v>1</v>
      </c>
      <c r="AJ548" t="n">
        <v>5</v>
      </c>
      <c r="AK548" t="n">
        <v>5</v>
      </c>
      <c r="AL548" t="n">
        <v>1</v>
      </c>
      <c r="AM548" t="n">
        <v>1</v>
      </c>
      <c r="AN548" t="n">
        <v>1</v>
      </c>
      <c r="AO548" t="n">
        <v>1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HYPERLINK("https://creighton-primo.hosted.exlibrisgroup.com/primo-explore/search?tab=default_tab&amp;search_scope=EVERYTHING&amp;vid=01CRU&amp;lang=en_US&amp;offset=0&amp;query=any,contains,991004364329702656","Catalog Record")</f>
        <v/>
      </c>
      <c r="AT548">
        <f>HYPERLINK("http://www.worldcat.org/oclc/53932606","WorldCat Record")</f>
        <v/>
      </c>
      <c r="AU548" t="inlineStr">
        <is>
          <t>799360188:eng</t>
        </is>
      </c>
      <c r="AV548" t="inlineStr">
        <is>
          <t>53932606</t>
        </is>
      </c>
      <c r="AW548" t="inlineStr">
        <is>
          <t>991004364329702656</t>
        </is>
      </c>
      <c r="AX548" t="inlineStr">
        <is>
          <t>991004364329702656</t>
        </is>
      </c>
      <c r="AY548" t="inlineStr">
        <is>
          <t>2269803470002656</t>
        </is>
      </c>
      <c r="AZ548" t="inlineStr">
        <is>
          <t>BOOK</t>
        </is>
      </c>
      <c r="BB548" t="inlineStr">
        <is>
          <t>9780761988731</t>
        </is>
      </c>
      <c r="BC548" t="inlineStr">
        <is>
          <t>32285004989793</t>
        </is>
      </c>
      <c r="BD548" t="inlineStr">
        <is>
          <t>893436198</t>
        </is>
      </c>
    </row>
    <row r="549">
      <c r="A549" t="inlineStr">
        <is>
          <t>No</t>
        </is>
      </c>
      <c r="B549" t="inlineStr">
        <is>
          <t>HV6431 .P47 1983</t>
        </is>
      </c>
      <c r="C549" t="inlineStr">
        <is>
          <t>0                      HV 6431000P  47          1983</t>
        </is>
      </c>
      <c r="D549" t="inlineStr">
        <is>
          <t>Perspectives on terrorism / edited by Lawrence Zelic Freedman and Yonah Alexander.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L549" t="inlineStr">
        <is>
          <t>Wilmington, Del. : Scholarly Resources, 1983.</t>
        </is>
      </c>
      <c r="M549" t="inlineStr">
        <is>
          <t>1983</t>
        </is>
      </c>
      <c r="O549" t="inlineStr">
        <is>
          <t>eng</t>
        </is>
      </c>
      <c r="P549" t="inlineStr">
        <is>
          <t>deu</t>
        </is>
      </c>
      <c r="R549" t="inlineStr">
        <is>
          <t xml:space="preserve">HV </t>
        </is>
      </c>
      <c r="S549" t="n">
        <v>17</v>
      </c>
      <c r="T549" t="n">
        <v>17</v>
      </c>
      <c r="U549" t="inlineStr">
        <is>
          <t>2007-06-21</t>
        </is>
      </c>
      <c r="V549" t="inlineStr">
        <is>
          <t>2007-06-21</t>
        </is>
      </c>
      <c r="W549" t="inlineStr">
        <is>
          <t>1990-07-06</t>
        </is>
      </c>
      <c r="X549" t="inlineStr">
        <is>
          <t>1990-07-06</t>
        </is>
      </c>
      <c r="Y549" t="n">
        <v>553</v>
      </c>
      <c r="Z549" t="n">
        <v>472</v>
      </c>
      <c r="AA549" t="n">
        <v>629</v>
      </c>
      <c r="AB549" t="n">
        <v>5</v>
      </c>
      <c r="AC549" t="n">
        <v>5</v>
      </c>
      <c r="AD549" t="n">
        <v>26</v>
      </c>
      <c r="AE549" t="n">
        <v>29</v>
      </c>
      <c r="AF549" t="n">
        <v>9</v>
      </c>
      <c r="AG549" t="n">
        <v>12</v>
      </c>
      <c r="AH549" t="n">
        <v>6</v>
      </c>
      <c r="AI549" t="n">
        <v>7</v>
      </c>
      <c r="AJ549" t="n">
        <v>12</v>
      </c>
      <c r="AK549" t="n">
        <v>12</v>
      </c>
      <c r="AL549" t="n">
        <v>4</v>
      </c>
      <c r="AM549" t="n">
        <v>4</v>
      </c>
      <c r="AN549" t="n">
        <v>2</v>
      </c>
      <c r="AO549" t="n">
        <v>2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HYPERLINK("https://creighton-primo.hosted.exlibrisgroup.com/primo-explore/search?tab=default_tab&amp;search_scope=EVERYTHING&amp;vid=01CRU&amp;lang=en_US&amp;offset=0&amp;query=any,contains,991000150369702656","Catalog Record")</f>
        <v/>
      </c>
      <c r="AT549">
        <f>HYPERLINK("http://www.worldcat.org/oclc/9198017","WorldCat Record")</f>
        <v/>
      </c>
      <c r="AU549" t="inlineStr">
        <is>
          <t>509622587:eng</t>
        </is>
      </c>
      <c r="AV549" t="inlineStr">
        <is>
          <t>9198017</t>
        </is>
      </c>
      <c r="AW549" t="inlineStr">
        <is>
          <t>991000150369702656</t>
        </is>
      </c>
      <c r="AX549" t="inlineStr">
        <is>
          <t>991000150369702656</t>
        </is>
      </c>
      <c r="AY549" t="inlineStr">
        <is>
          <t>2263035570002656</t>
        </is>
      </c>
      <c r="AZ549" t="inlineStr">
        <is>
          <t>BOOK</t>
        </is>
      </c>
      <c r="BB549" t="inlineStr">
        <is>
          <t>9780842022019</t>
        </is>
      </c>
      <c r="BC549" t="inlineStr">
        <is>
          <t>32285000226034</t>
        </is>
      </c>
      <c r="BD549" t="inlineStr">
        <is>
          <t>893808619</t>
        </is>
      </c>
    </row>
    <row r="550">
      <c r="A550" t="inlineStr">
        <is>
          <t>No</t>
        </is>
      </c>
      <c r="B550" t="inlineStr">
        <is>
          <t>HV6431 .R437 2006</t>
        </is>
      </c>
      <c r="C550" t="inlineStr">
        <is>
          <t>0                      HV 6431000R  437         2006</t>
        </is>
      </c>
      <c r="D550" t="inlineStr">
        <is>
          <t>Transatlantic counter-terrorism cooperation : the new imperative / Wyn Rees.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Rees, G. Wyn, 1963-</t>
        </is>
      </c>
      <c r="L550" t="inlineStr">
        <is>
          <t>London ; New York : Routledge, 2006.</t>
        </is>
      </c>
      <c r="M550" t="inlineStr">
        <is>
          <t>2006</t>
        </is>
      </c>
      <c r="O550" t="inlineStr">
        <is>
          <t>eng</t>
        </is>
      </c>
      <c r="P550" t="inlineStr">
        <is>
          <t>enk</t>
        </is>
      </c>
      <c r="R550" t="inlineStr">
        <is>
          <t xml:space="preserve">HV </t>
        </is>
      </c>
      <c r="S550" t="n">
        <v>1</v>
      </c>
      <c r="T550" t="n">
        <v>1</v>
      </c>
      <c r="U550" t="inlineStr">
        <is>
          <t>2007-10-30</t>
        </is>
      </c>
      <c r="V550" t="inlineStr">
        <is>
          <t>2007-10-30</t>
        </is>
      </c>
      <c r="W550" t="inlineStr">
        <is>
          <t>2007-10-30</t>
        </is>
      </c>
      <c r="X550" t="inlineStr">
        <is>
          <t>2007-10-30</t>
        </is>
      </c>
      <c r="Y550" t="n">
        <v>314</v>
      </c>
      <c r="Z550" t="n">
        <v>219</v>
      </c>
      <c r="AA550" t="n">
        <v>252</v>
      </c>
      <c r="AB550" t="n">
        <v>1</v>
      </c>
      <c r="AC550" t="n">
        <v>1</v>
      </c>
      <c r="AD550" t="n">
        <v>8</v>
      </c>
      <c r="AE550" t="n">
        <v>8</v>
      </c>
      <c r="AF550" t="n">
        <v>2</v>
      </c>
      <c r="AG550" t="n">
        <v>2</v>
      </c>
      <c r="AH550" t="n">
        <v>2</v>
      </c>
      <c r="AI550" t="n">
        <v>2</v>
      </c>
      <c r="AJ550" t="n">
        <v>5</v>
      </c>
      <c r="AK550" t="n">
        <v>5</v>
      </c>
      <c r="AL550" t="n">
        <v>0</v>
      </c>
      <c r="AM550" t="n">
        <v>0</v>
      </c>
      <c r="AN550" t="n">
        <v>2</v>
      </c>
      <c r="AO550" t="n">
        <v>2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HYPERLINK("https://creighton-primo.hosted.exlibrisgroup.com/primo-explore/search?tab=default_tab&amp;search_scope=EVERYTHING&amp;vid=01CRU&amp;lang=en_US&amp;offset=0&amp;query=any,contains,991005125199702656","Catalog Record")</f>
        <v/>
      </c>
      <c r="AT550">
        <f>HYPERLINK("http://www.worldcat.org/oclc/62755559","WorldCat Record")</f>
        <v/>
      </c>
      <c r="AU550" t="inlineStr">
        <is>
          <t>802181502:eng</t>
        </is>
      </c>
      <c r="AV550" t="inlineStr">
        <is>
          <t>62755559</t>
        </is>
      </c>
      <c r="AW550" t="inlineStr">
        <is>
          <t>991005125199702656</t>
        </is>
      </c>
      <c r="AX550" t="inlineStr">
        <is>
          <t>991005125199702656</t>
        </is>
      </c>
      <c r="AY550" t="inlineStr">
        <is>
          <t>2270522700002656</t>
        </is>
      </c>
      <c r="AZ550" t="inlineStr">
        <is>
          <t>BOOK</t>
        </is>
      </c>
      <c r="BB550" t="inlineStr">
        <is>
          <t>9780415331388</t>
        </is>
      </c>
      <c r="BC550" t="inlineStr">
        <is>
          <t>32285005363444</t>
        </is>
      </c>
      <c r="BD550" t="inlineStr">
        <is>
          <t>893719816</t>
        </is>
      </c>
    </row>
    <row r="551">
      <c r="A551" t="inlineStr">
        <is>
          <t>No</t>
        </is>
      </c>
      <c r="B551" t="inlineStr">
        <is>
          <t>HV6431 .S26 2005</t>
        </is>
      </c>
      <c r="C551" t="inlineStr">
        <is>
          <t>0                      HV 6431000S  26          2005</t>
        </is>
      </c>
      <c r="D551" t="inlineStr">
        <is>
          <t>Capitalism is not democracy : avoiding apocalyptical human insecurity in a dystopic era of economic globalization / H. Raymond Samuels II.</t>
        </is>
      </c>
      <c r="F551" t="inlineStr">
        <is>
          <t>Yes</t>
        </is>
      </c>
      <c r="G551" t="inlineStr">
        <is>
          <t>1</t>
        </is>
      </c>
      <c r="H551" t="inlineStr">
        <is>
          <t>Yes</t>
        </is>
      </c>
      <c r="I551" t="inlineStr">
        <is>
          <t>No</t>
        </is>
      </c>
      <c r="J551" t="inlineStr">
        <is>
          <t>0</t>
        </is>
      </c>
      <c r="K551" t="inlineStr">
        <is>
          <t>Samuels, Raymond (H. Raymond)</t>
        </is>
      </c>
      <c r="L551" t="inlineStr">
        <is>
          <t>Kanata, Ont. : Agora Pub. Consortium, 2005.</t>
        </is>
      </c>
      <c r="M551" t="inlineStr">
        <is>
          <t>2005</t>
        </is>
      </c>
      <c r="O551" t="inlineStr">
        <is>
          <t>eng</t>
        </is>
      </c>
      <c r="P551" t="inlineStr">
        <is>
          <t>onc</t>
        </is>
      </c>
      <c r="R551" t="inlineStr">
        <is>
          <t xml:space="preserve">HV </t>
        </is>
      </c>
      <c r="S551" t="n">
        <v>1</v>
      </c>
      <c r="T551" t="n">
        <v>3</v>
      </c>
      <c r="U551" t="inlineStr">
        <is>
          <t>2009-02-06</t>
        </is>
      </c>
      <c r="V551" t="inlineStr">
        <is>
          <t>2009-02-06</t>
        </is>
      </c>
      <c r="W551" t="inlineStr">
        <is>
          <t>2006-05-31</t>
        </is>
      </c>
      <c r="X551" t="inlineStr">
        <is>
          <t>2006-05-31</t>
        </is>
      </c>
      <c r="Y551" t="n">
        <v>29</v>
      </c>
      <c r="Z551" t="n">
        <v>20</v>
      </c>
      <c r="AA551" t="n">
        <v>28</v>
      </c>
      <c r="AB551" t="n">
        <v>1</v>
      </c>
      <c r="AC551" t="n">
        <v>1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HYPERLINK("http://catalog.hathitrust.org/Record/007584093","HathiTrust Record")</f>
        <v/>
      </c>
      <c r="AS551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1">
        <f>HYPERLINK("http://www.worldcat.org/oclc/56921442","WorldCat Record")</f>
        <v/>
      </c>
      <c r="AU551" t="inlineStr">
        <is>
          <t>46376485:eng</t>
        </is>
      </c>
      <c r="AV551" t="inlineStr">
        <is>
          <t>56921442</t>
        </is>
      </c>
      <c r="AW551" t="inlineStr">
        <is>
          <t>991004802529702656</t>
        </is>
      </c>
      <c r="AX551" t="inlineStr">
        <is>
          <t>991004802529702656</t>
        </is>
      </c>
      <c r="AY551" t="inlineStr">
        <is>
          <t>2257541870002656</t>
        </is>
      </c>
      <c r="AZ551" t="inlineStr">
        <is>
          <t>BOOK</t>
        </is>
      </c>
      <c r="BB551" t="inlineStr">
        <is>
          <t>9781894934633</t>
        </is>
      </c>
      <c r="BC551" t="inlineStr">
        <is>
          <t>32285005189971</t>
        </is>
      </c>
      <c r="BD551" t="inlineStr">
        <is>
          <t>893446400</t>
        </is>
      </c>
    </row>
    <row r="552">
      <c r="A552" t="inlineStr">
        <is>
          <t>No</t>
        </is>
      </c>
      <c r="B552" t="inlineStr">
        <is>
          <t>HV6431 .S26 2005 PT. 2</t>
        </is>
      </c>
      <c r="C552" t="inlineStr">
        <is>
          <t>0                      HV 6431000S  26          2005                                        PT. 2</t>
        </is>
      </c>
      <c r="D552" t="inlineStr">
        <is>
          <t>Capitalism is not democracy : avoiding apocalyptical human insecurity in a dystopic era of economic globalization / H. Raymond Samuels II.</t>
        </is>
      </c>
      <c r="E552" t="inlineStr">
        <is>
          <t>PT. 2*</t>
        </is>
      </c>
      <c r="F552" t="inlineStr">
        <is>
          <t>Yes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Samuels, Raymond (H. Raymond)</t>
        </is>
      </c>
      <c r="L552" t="inlineStr">
        <is>
          <t>Kanata, Ont. : Agora Pub. Consortium, 2005.</t>
        </is>
      </c>
      <c r="M552" t="inlineStr">
        <is>
          <t>2005</t>
        </is>
      </c>
      <c r="O552" t="inlineStr">
        <is>
          <t>eng</t>
        </is>
      </c>
      <c r="P552" t="inlineStr">
        <is>
          <t>onc</t>
        </is>
      </c>
      <c r="R552" t="inlineStr">
        <is>
          <t xml:space="preserve">HV </t>
        </is>
      </c>
      <c r="S552" t="n">
        <v>1</v>
      </c>
      <c r="T552" t="n">
        <v>3</v>
      </c>
      <c r="U552" t="inlineStr">
        <is>
          <t>2009-02-06</t>
        </is>
      </c>
      <c r="V552" t="inlineStr">
        <is>
          <t>2009-02-06</t>
        </is>
      </c>
      <c r="W552" t="inlineStr">
        <is>
          <t>2006-05-31</t>
        </is>
      </c>
      <c r="X552" t="inlineStr">
        <is>
          <t>2006-05-31</t>
        </is>
      </c>
      <c r="Y552" t="n">
        <v>29</v>
      </c>
      <c r="Z552" t="n">
        <v>20</v>
      </c>
      <c r="AA552" t="n">
        <v>28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HYPERLINK("http://catalog.hathitrust.org/Record/007584093","HathiTrust Record")</f>
        <v/>
      </c>
      <c r="AS552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2">
        <f>HYPERLINK("http://www.worldcat.org/oclc/56921442","WorldCat Record")</f>
        <v/>
      </c>
      <c r="AU552" t="inlineStr">
        <is>
          <t>46376485:eng</t>
        </is>
      </c>
      <c r="AV552" t="inlineStr">
        <is>
          <t>56921442</t>
        </is>
      </c>
      <c r="AW552" t="inlineStr">
        <is>
          <t>991004802529702656</t>
        </is>
      </c>
      <c r="AX552" t="inlineStr">
        <is>
          <t>991004802529702656</t>
        </is>
      </c>
      <c r="AY552" t="inlineStr">
        <is>
          <t>2257541870002656</t>
        </is>
      </c>
      <c r="AZ552" t="inlineStr">
        <is>
          <t>BOOK</t>
        </is>
      </c>
      <c r="BB552" t="inlineStr">
        <is>
          <t>9781894934633</t>
        </is>
      </c>
      <c r="BC552" t="inlineStr">
        <is>
          <t>32285005189989</t>
        </is>
      </c>
      <c r="BD552" t="inlineStr">
        <is>
          <t>893424207</t>
        </is>
      </c>
    </row>
    <row r="553">
      <c r="A553" t="inlineStr">
        <is>
          <t>No</t>
        </is>
      </c>
      <c r="B553" t="inlineStr">
        <is>
          <t>HV6431 .S26 2005 PT. 3</t>
        </is>
      </c>
      <c r="C553" t="inlineStr">
        <is>
          <t>0                      HV 6431000S  26          2005                                        PT. 3</t>
        </is>
      </c>
      <c r="D553" t="inlineStr">
        <is>
          <t>Capitalism is not democracy : avoiding apocalyptical human insecurity in a dystopic era of economic globalization / H. Raymond Samuels II.</t>
        </is>
      </c>
      <c r="E553" t="inlineStr">
        <is>
          <t>PT. 3*</t>
        </is>
      </c>
      <c r="F553" t="inlineStr">
        <is>
          <t>Yes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Samuels, Raymond (H. Raymond)</t>
        </is>
      </c>
      <c r="L553" t="inlineStr">
        <is>
          <t>Kanata, Ont. : Agora Pub. Consortium, 2005.</t>
        </is>
      </c>
      <c r="M553" t="inlineStr">
        <is>
          <t>2005</t>
        </is>
      </c>
      <c r="O553" t="inlineStr">
        <is>
          <t>eng</t>
        </is>
      </c>
      <c r="P553" t="inlineStr">
        <is>
          <t>onc</t>
        </is>
      </c>
      <c r="R553" t="inlineStr">
        <is>
          <t xml:space="preserve">HV </t>
        </is>
      </c>
      <c r="S553" t="n">
        <v>1</v>
      </c>
      <c r="T553" t="n">
        <v>3</v>
      </c>
      <c r="U553" t="inlineStr">
        <is>
          <t>2009-02-06</t>
        </is>
      </c>
      <c r="V553" t="inlineStr">
        <is>
          <t>2009-02-06</t>
        </is>
      </c>
      <c r="W553" t="inlineStr">
        <is>
          <t>2006-05-31</t>
        </is>
      </c>
      <c r="X553" t="inlineStr">
        <is>
          <t>2006-05-31</t>
        </is>
      </c>
      <c r="Y553" t="n">
        <v>29</v>
      </c>
      <c r="Z553" t="n">
        <v>20</v>
      </c>
      <c r="AA553" t="n">
        <v>28</v>
      </c>
      <c r="AB553" t="n">
        <v>1</v>
      </c>
      <c r="AC553" t="n">
        <v>1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HYPERLINK("http://catalog.hathitrust.org/Record/007584093","HathiTrust Record")</f>
        <v/>
      </c>
      <c r="AS553">
        <f>HYPERLINK("https://creighton-primo.hosted.exlibrisgroup.com/primo-explore/search?tab=default_tab&amp;search_scope=EVERYTHING&amp;vid=01CRU&amp;lang=en_US&amp;offset=0&amp;query=any,contains,991004802529702656","Catalog Record")</f>
        <v/>
      </c>
      <c r="AT553">
        <f>HYPERLINK("http://www.worldcat.org/oclc/56921442","WorldCat Record")</f>
        <v/>
      </c>
      <c r="AU553" t="inlineStr">
        <is>
          <t>46376485:eng</t>
        </is>
      </c>
      <c r="AV553" t="inlineStr">
        <is>
          <t>56921442</t>
        </is>
      </c>
      <c r="AW553" t="inlineStr">
        <is>
          <t>991004802529702656</t>
        </is>
      </c>
      <c r="AX553" t="inlineStr">
        <is>
          <t>991004802529702656</t>
        </is>
      </c>
      <c r="AY553" t="inlineStr">
        <is>
          <t>2257541870002656</t>
        </is>
      </c>
      <c r="AZ553" t="inlineStr">
        <is>
          <t>BOOK</t>
        </is>
      </c>
      <c r="BB553" t="inlineStr">
        <is>
          <t>9781894934633</t>
        </is>
      </c>
      <c r="BC553" t="inlineStr">
        <is>
          <t>32285005189997</t>
        </is>
      </c>
      <c r="BD553" t="inlineStr">
        <is>
          <t>893424206</t>
        </is>
      </c>
    </row>
    <row r="554">
      <c r="A554" t="inlineStr">
        <is>
          <t>No</t>
        </is>
      </c>
      <c r="B554" t="inlineStr">
        <is>
          <t>HV6431 .S4 1992</t>
        </is>
      </c>
      <c r="C554" t="inlineStr">
        <is>
          <t>0                      HV 6431000S  4           1992</t>
        </is>
      </c>
      <c r="D554" t="inlineStr">
        <is>
          <t>Abu Nidal : a gun for hire / Patrick Seale.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Seale, Patrick.</t>
        </is>
      </c>
      <c r="L554" t="inlineStr">
        <is>
          <t>New York : Random House, c1992.</t>
        </is>
      </c>
      <c r="M554" t="inlineStr">
        <is>
          <t>1992</t>
        </is>
      </c>
      <c r="N554" t="inlineStr">
        <is>
          <t>1st ed.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HV </t>
        </is>
      </c>
      <c r="S554" t="n">
        <v>11</v>
      </c>
      <c r="T554" t="n">
        <v>11</v>
      </c>
      <c r="U554" t="inlineStr">
        <is>
          <t>2008-03-28</t>
        </is>
      </c>
      <c r="V554" t="inlineStr">
        <is>
          <t>2008-03-28</t>
        </is>
      </c>
      <c r="W554" t="inlineStr">
        <is>
          <t>1992-07-28</t>
        </is>
      </c>
      <c r="X554" t="inlineStr">
        <is>
          <t>1992-07-28</t>
        </is>
      </c>
      <c r="Y554" t="n">
        <v>512</v>
      </c>
      <c r="Z554" t="n">
        <v>436</v>
      </c>
      <c r="AA554" t="n">
        <v>459</v>
      </c>
      <c r="AB554" t="n">
        <v>3</v>
      </c>
      <c r="AC554" t="n">
        <v>3</v>
      </c>
      <c r="AD554" t="n">
        <v>15</v>
      </c>
      <c r="AE554" t="n">
        <v>15</v>
      </c>
      <c r="AF554" t="n">
        <v>6</v>
      </c>
      <c r="AG554" t="n">
        <v>6</v>
      </c>
      <c r="AH554" t="n">
        <v>3</v>
      </c>
      <c r="AI554" t="n">
        <v>3</v>
      </c>
      <c r="AJ554" t="n">
        <v>7</v>
      </c>
      <c r="AK554" t="n">
        <v>7</v>
      </c>
      <c r="AL554" t="n">
        <v>1</v>
      </c>
      <c r="AM554" t="n">
        <v>1</v>
      </c>
      <c r="AN554" t="n">
        <v>1</v>
      </c>
      <c r="AO554" t="n">
        <v>1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HYPERLINK("http://catalog.hathitrust.org/Record/003575768","HathiTrust Record")</f>
        <v/>
      </c>
      <c r="AS554">
        <f>HYPERLINK("https://creighton-primo.hosted.exlibrisgroup.com/primo-explore/search?tab=default_tab&amp;search_scope=EVERYTHING&amp;vid=01CRU&amp;lang=en_US&amp;offset=0&amp;query=any,contains,991001948149702656","Catalog Record")</f>
        <v/>
      </c>
      <c r="AT554">
        <f>HYPERLINK("http://www.worldcat.org/oclc/24628222","WorldCat Record")</f>
        <v/>
      </c>
      <c r="AU554" t="inlineStr">
        <is>
          <t>27001805:eng</t>
        </is>
      </c>
      <c r="AV554" t="inlineStr">
        <is>
          <t>24628222</t>
        </is>
      </c>
      <c r="AW554" t="inlineStr">
        <is>
          <t>991001948149702656</t>
        </is>
      </c>
      <c r="AX554" t="inlineStr">
        <is>
          <t>991001948149702656</t>
        </is>
      </c>
      <c r="AY554" t="inlineStr">
        <is>
          <t>2261575990002656</t>
        </is>
      </c>
      <c r="AZ554" t="inlineStr">
        <is>
          <t>BOOK</t>
        </is>
      </c>
      <c r="BB554" t="inlineStr">
        <is>
          <t>9780679400660</t>
        </is>
      </c>
      <c r="BC554" t="inlineStr">
        <is>
          <t>32285001195154</t>
        </is>
      </c>
      <c r="BD554" t="inlineStr">
        <is>
          <t>893232407</t>
        </is>
      </c>
    </row>
    <row r="555">
      <c r="A555" t="inlineStr">
        <is>
          <t>No</t>
        </is>
      </c>
      <c r="B555" t="inlineStr">
        <is>
          <t>HV6431 .S4686 2007</t>
        </is>
      </c>
      <c r="C555" t="inlineStr">
        <is>
          <t>0                      HV 6431000S  4686        2007</t>
        </is>
      </c>
      <c r="D555" t="inlineStr">
        <is>
          <t>When terrorism and counterterrorism clash : the War on Terror and the transformation of terrorist activity / Ivan Sascha Sheehan.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Sheehan, Ivan Sascha.</t>
        </is>
      </c>
      <c r="L555" t="inlineStr">
        <is>
          <t>Youngstown, N.Y. : Cambria Press, c2007.</t>
        </is>
      </c>
      <c r="M555" t="inlineStr">
        <is>
          <t>2007</t>
        </is>
      </c>
      <c r="O555" t="inlineStr">
        <is>
          <t>eng</t>
        </is>
      </c>
      <c r="P555" t="inlineStr">
        <is>
          <t>nyu</t>
        </is>
      </c>
      <c r="R555" t="inlineStr">
        <is>
          <t xml:space="preserve">HV </t>
        </is>
      </c>
      <c r="S555" t="n">
        <v>1</v>
      </c>
      <c r="T555" t="n">
        <v>1</v>
      </c>
      <c r="U555" t="inlineStr">
        <is>
          <t>2008-11-17</t>
        </is>
      </c>
      <c r="V555" t="inlineStr">
        <is>
          <t>2008-11-17</t>
        </is>
      </c>
      <c r="W555" t="inlineStr">
        <is>
          <t>2008-11-17</t>
        </is>
      </c>
      <c r="X555" t="inlineStr">
        <is>
          <t>2008-11-17</t>
        </is>
      </c>
      <c r="Y555" t="n">
        <v>166</v>
      </c>
      <c r="Z555" t="n">
        <v>144</v>
      </c>
      <c r="AA555" t="n">
        <v>412</v>
      </c>
      <c r="AB555" t="n">
        <v>1</v>
      </c>
      <c r="AC555" t="n">
        <v>5</v>
      </c>
      <c r="AD555" t="n">
        <v>9</v>
      </c>
      <c r="AE555" t="n">
        <v>14</v>
      </c>
      <c r="AF555" t="n">
        <v>3</v>
      </c>
      <c r="AG555" t="n">
        <v>3</v>
      </c>
      <c r="AH555" t="n">
        <v>3</v>
      </c>
      <c r="AI555" t="n">
        <v>3</v>
      </c>
      <c r="AJ555" t="n">
        <v>6</v>
      </c>
      <c r="AK555" t="n">
        <v>7</v>
      </c>
      <c r="AL555" t="n">
        <v>0</v>
      </c>
      <c r="AM555" t="n">
        <v>4</v>
      </c>
      <c r="AN555" t="n">
        <v>1</v>
      </c>
      <c r="AO555" t="n">
        <v>1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HYPERLINK("https://creighton-primo.hosted.exlibrisgroup.com/primo-explore/search?tab=default_tab&amp;search_scope=EVERYTHING&amp;vid=01CRU&amp;lang=en_US&amp;offset=0&amp;query=any,contains,991005270219702656","Catalog Record")</f>
        <v/>
      </c>
      <c r="AT555">
        <f>HYPERLINK("http://www.worldcat.org/oclc/137331469","WorldCat Record")</f>
        <v/>
      </c>
      <c r="AU555" t="inlineStr">
        <is>
          <t>229827668:eng</t>
        </is>
      </c>
      <c r="AV555" t="inlineStr">
        <is>
          <t>137331469</t>
        </is>
      </c>
      <c r="AW555" t="inlineStr">
        <is>
          <t>991005270219702656</t>
        </is>
      </c>
      <c r="AX555" t="inlineStr">
        <is>
          <t>991005270219702656</t>
        </is>
      </c>
      <c r="AY555" t="inlineStr">
        <is>
          <t>2261227030002656</t>
        </is>
      </c>
      <c r="AZ555" t="inlineStr">
        <is>
          <t>BOOK</t>
        </is>
      </c>
      <c r="BB555" t="inlineStr">
        <is>
          <t>9781934043707</t>
        </is>
      </c>
      <c r="BC555" t="inlineStr">
        <is>
          <t>32285005466312</t>
        </is>
      </c>
      <c r="BD555" t="inlineStr">
        <is>
          <t>893625743</t>
        </is>
      </c>
    </row>
    <row r="556">
      <c r="A556" t="inlineStr">
        <is>
          <t>No</t>
        </is>
      </c>
      <c r="B556" t="inlineStr">
        <is>
          <t>HV6431 .S74 1999</t>
        </is>
      </c>
      <c r="C556" t="inlineStr">
        <is>
          <t>0                      HV 6431000S  74          1999</t>
        </is>
      </c>
      <c r="D556" t="inlineStr">
        <is>
          <t>The ultimate terrorists / Jessica Stern.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Stern, Jessica, 1958-</t>
        </is>
      </c>
      <c r="L556" t="inlineStr">
        <is>
          <t>Cambridge, MA : Harvard University Press, 1999.</t>
        </is>
      </c>
      <c r="M556" t="inlineStr">
        <is>
          <t>1999</t>
        </is>
      </c>
      <c r="O556" t="inlineStr">
        <is>
          <t>eng</t>
        </is>
      </c>
      <c r="P556" t="inlineStr">
        <is>
          <t>mau</t>
        </is>
      </c>
      <c r="R556" t="inlineStr">
        <is>
          <t xml:space="preserve">HV </t>
        </is>
      </c>
      <c r="S556" t="n">
        <v>8</v>
      </c>
      <c r="T556" t="n">
        <v>8</v>
      </c>
      <c r="U556" t="inlineStr">
        <is>
          <t>2004-05-04</t>
        </is>
      </c>
      <c r="V556" t="inlineStr">
        <is>
          <t>2004-05-04</t>
        </is>
      </c>
      <c r="W556" t="inlineStr">
        <is>
          <t>1999-08-24</t>
        </is>
      </c>
      <c r="X556" t="inlineStr">
        <is>
          <t>1999-08-24</t>
        </is>
      </c>
      <c r="Y556" t="n">
        <v>1093</v>
      </c>
      <c r="Z556" t="n">
        <v>947</v>
      </c>
      <c r="AA556" t="n">
        <v>1152</v>
      </c>
      <c r="AB556" t="n">
        <v>6</v>
      </c>
      <c r="AC556" t="n">
        <v>7</v>
      </c>
      <c r="AD556" t="n">
        <v>37</v>
      </c>
      <c r="AE556" t="n">
        <v>43</v>
      </c>
      <c r="AF556" t="n">
        <v>16</v>
      </c>
      <c r="AG556" t="n">
        <v>21</v>
      </c>
      <c r="AH556" t="n">
        <v>8</v>
      </c>
      <c r="AI556" t="n">
        <v>9</v>
      </c>
      <c r="AJ556" t="n">
        <v>12</v>
      </c>
      <c r="AK556" t="n">
        <v>13</v>
      </c>
      <c r="AL556" t="n">
        <v>5</v>
      </c>
      <c r="AM556" t="n">
        <v>5</v>
      </c>
      <c r="AN556" t="n">
        <v>5</v>
      </c>
      <c r="AO556" t="n">
        <v>5</v>
      </c>
      <c r="AP556" t="inlineStr">
        <is>
          <t>No</t>
        </is>
      </c>
      <c r="AQ556" t="inlineStr">
        <is>
          <t>No</t>
        </is>
      </c>
      <c r="AS556">
        <f>HYPERLINK("https://creighton-primo.hosted.exlibrisgroup.com/primo-explore/search?tab=default_tab&amp;search_scope=EVERYTHING&amp;vid=01CRU&amp;lang=en_US&amp;offset=0&amp;query=any,contains,991002972519702656","Catalog Record")</f>
        <v/>
      </c>
      <c r="AT556">
        <f>HYPERLINK("http://www.worldcat.org/oclc/39812131","WorldCat Record")</f>
        <v/>
      </c>
      <c r="AU556" t="inlineStr">
        <is>
          <t>14460301:eng</t>
        </is>
      </c>
      <c r="AV556" t="inlineStr">
        <is>
          <t>39812131</t>
        </is>
      </c>
      <c r="AW556" t="inlineStr">
        <is>
          <t>991002972519702656</t>
        </is>
      </c>
      <c r="AX556" t="inlineStr">
        <is>
          <t>991002972519702656</t>
        </is>
      </c>
      <c r="AY556" t="inlineStr">
        <is>
          <t>2272287190002656</t>
        </is>
      </c>
      <c r="AZ556" t="inlineStr">
        <is>
          <t>BOOK</t>
        </is>
      </c>
      <c r="BB556" t="inlineStr">
        <is>
          <t>9780674617902</t>
        </is>
      </c>
      <c r="BC556" t="inlineStr">
        <is>
          <t>32285003583852</t>
        </is>
      </c>
      <c r="BD556" t="inlineStr">
        <is>
          <t>893498788</t>
        </is>
      </c>
    </row>
    <row r="557">
      <c r="A557" t="inlineStr">
        <is>
          <t>No</t>
        </is>
      </c>
      <c r="B557" t="inlineStr">
        <is>
          <t>HV6431 .S744 2004</t>
        </is>
      </c>
      <c r="C557" t="inlineStr">
        <is>
          <t>0                      HV 6431000S  744         2004</t>
        </is>
      </c>
      <c r="D557" t="inlineStr">
        <is>
          <t>Counterterrorism : a reference handbook / Graeme C. S. Steven and Rohan Gunaratna.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Steven, Graeme C. S.</t>
        </is>
      </c>
      <c r="L557" t="inlineStr">
        <is>
          <t>Santa Barbara, Calif. : ABC-CLIO, c2004.</t>
        </is>
      </c>
      <c r="M557" t="inlineStr">
        <is>
          <t>2004</t>
        </is>
      </c>
      <c r="O557" t="inlineStr">
        <is>
          <t>eng</t>
        </is>
      </c>
      <c r="P557" t="inlineStr">
        <is>
          <t>cau</t>
        </is>
      </c>
      <c r="Q557" t="inlineStr">
        <is>
          <t>Contemporary world issues</t>
        </is>
      </c>
      <c r="R557" t="inlineStr">
        <is>
          <t xml:space="preserve">HV </t>
        </is>
      </c>
      <c r="S557" t="n">
        <v>2</v>
      </c>
      <c r="T557" t="n">
        <v>2</v>
      </c>
      <c r="U557" t="inlineStr">
        <is>
          <t>2004-10-06</t>
        </is>
      </c>
      <c r="V557" t="inlineStr">
        <is>
          <t>2004-10-06</t>
        </is>
      </c>
      <c r="W557" t="inlineStr">
        <is>
          <t>2004-10-05</t>
        </is>
      </c>
      <c r="X557" t="inlineStr">
        <is>
          <t>2004-10-05</t>
        </is>
      </c>
      <c r="Y557" t="n">
        <v>559</v>
      </c>
      <c r="Z557" t="n">
        <v>511</v>
      </c>
      <c r="AA557" t="n">
        <v>908</v>
      </c>
      <c r="AB557" t="n">
        <v>2</v>
      </c>
      <c r="AC557" t="n">
        <v>5</v>
      </c>
      <c r="AD557" t="n">
        <v>9</v>
      </c>
      <c r="AE557" t="n">
        <v>18</v>
      </c>
      <c r="AF557" t="n">
        <v>4</v>
      </c>
      <c r="AG557" t="n">
        <v>9</v>
      </c>
      <c r="AH557" t="n">
        <v>2</v>
      </c>
      <c r="AI557" t="n">
        <v>3</v>
      </c>
      <c r="AJ557" t="n">
        <v>5</v>
      </c>
      <c r="AK557" t="n">
        <v>8</v>
      </c>
      <c r="AL557" t="n">
        <v>0</v>
      </c>
      <c r="AM557" t="n">
        <v>3</v>
      </c>
      <c r="AN557" t="n">
        <v>1</v>
      </c>
      <c r="AO557" t="n">
        <v>1</v>
      </c>
      <c r="AP557" t="inlineStr">
        <is>
          <t>No</t>
        </is>
      </c>
      <c r="AQ557" t="inlineStr">
        <is>
          <t>No</t>
        </is>
      </c>
      <c r="AS557">
        <f>HYPERLINK("https://creighton-primo.hosted.exlibrisgroup.com/primo-explore/search?tab=default_tab&amp;search_scope=EVERYTHING&amp;vid=01CRU&amp;lang=en_US&amp;offset=0&amp;query=any,contains,991004382689702656","Catalog Record")</f>
        <v/>
      </c>
      <c r="AT557">
        <f>HYPERLINK("http://www.worldcat.org/oclc/55055170","WorldCat Record")</f>
        <v/>
      </c>
      <c r="AU557" t="inlineStr">
        <is>
          <t>792933218:eng</t>
        </is>
      </c>
      <c r="AV557" t="inlineStr">
        <is>
          <t>55055170</t>
        </is>
      </c>
      <c r="AW557" t="inlineStr">
        <is>
          <t>991004382689702656</t>
        </is>
      </c>
      <c r="AX557" t="inlineStr">
        <is>
          <t>991004382689702656</t>
        </is>
      </c>
      <c r="AY557" t="inlineStr">
        <is>
          <t>2265164200002656</t>
        </is>
      </c>
      <c r="AZ557" t="inlineStr">
        <is>
          <t>BOOK</t>
        </is>
      </c>
      <c r="BB557" t="inlineStr">
        <is>
          <t>9781851096664</t>
        </is>
      </c>
      <c r="BC557" t="inlineStr">
        <is>
          <t>32285005001143</t>
        </is>
      </c>
      <c r="BD557" t="inlineStr">
        <is>
          <t>893331533</t>
        </is>
      </c>
    </row>
    <row r="558">
      <c r="A558" t="inlineStr">
        <is>
          <t>No</t>
        </is>
      </c>
      <c r="B558" t="inlineStr">
        <is>
          <t>HV6431 .S86 2001</t>
        </is>
      </c>
      <c r="C558" t="inlineStr">
        <is>
          <t>0                      HV 6431000S  86          2001</t>
        </is>
      </c>
      <c r="D558" t="inlineStr">
        <is>
          <t>Super terrorism : biological, chemical, and nuclear / Yonah Alexander and Milton Hoenig, editors.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L558" t="inlineStr">
        <is>
          <t>Ardsley, NY : Transnational Publishers, c2001.</t>
        </is>
      </c>
      <c r="M558" t="inlineStr">
        <is>
          <t>2001</t>
        </is>
      </c>
      <c r="O558" t="inlineStr">
        <is>
          <t>eng</t>
        </is>
      </c>
      <c r="P558" t="inlineStr">
        <is>
          <t>nyu</t>
        </is>
      </c>
      <c r="R558" t="inlineStr">
        <is>
          <t xml:space="preserve">HV </t>
        </is>
      </c>
      <c r="S558" t="n">
        <v>4</v>
      </c>
      <c r="T558" t="n">
        <v>4</v>
      </c>
      <c r="U558" t="inlineStr">
        <is>
          <t>2006-04-02</t>
        </is>
      </c>
      <c r="V558" t="inlineStr">
        <is>
          <t>2006-04-02</t>
        </is>
      </c>
      <c r="W558" t="inlineStr">
        <is>
          <t>2001-12-12</t>
        </is>
      </c>
      <c r="X558" t="inlineStr">
        <is>
          <t>2001-12-12</t>
        </is>
      </c>
      <c r="Y558" t="n">
        <v>429</v>
      </c>
      <c r="Z558" t="n">
        <v>386</v>
      </c>
      <c r="AA558" t="n">
        <v>398</v>
      </c>
      <c r="AB558" t="n">
        <v>4</v>
      </c>
      <c r="AC558" t="n">
        <v>4</v>
      </c>
      <c r="AD558" t="n">
        <v>11</v>
      </c>
      <c r="AE558" t="n">
        <v>11</v>
      </c>
      <c r="AF558" t="n">
        <v>4</v>
      </c>
      <c r="AG558" t="n">
        <v>4</v>
      </c>
      <c r="AH558" t="n">
        <v>1</v>
      </c>
      <c r="AI558" t="n">
        <v>1</v>
      </c>
      <c r="AJ558" t="n">
        <v>5</v>
      </c>
      <c r="AK558" t="n">
        <v>5</v>
      </c>
      <c r="AL558" t="n">
        <v>2</v>
      </c>
      <c r="AM558" t="n">
        <v>2</v>
      </c>
      <c r="AN558" t="n">
        <v>3</v>
      </c>
      <c r="AO558" t="n">
        <v>3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HYPERLINK("https://creighton-primo.hosted.exlibrisgroup.com/primo-explore/search?tab=default_tab&amp;search_scope=EVERYTHING&amp;vid=01CRU&amp;lang=en_US&amp;offset=0&amp;query=any,contains,991003676679702656","Catalog Record")</f>
        <v/>
      </c>
      <c r="AT558">
        <f>HYPERLINK("http://www.worldcat.org/oclc/47161164","WorldCat Record")</f>
        <v/>
      </c>
      <c r="AU558" t="inlineStr">
        <is>
          <t>366830465:eng</t>
        </is>
      </c>
      <c r="AV558" t="inlineStr">
        <is>
          <t>47161164</t>
        </is>
      </c>
      <c r="AW558" t="inlineStr">
        <is>
          <t>991003676679702656</t>
        </is>
      </c>
      <c r="AX558" t="inlineStr">
        <is>
          <t>991003676679702656</t>
        </is>
      </c>
      <c r="AY558" t="inlineStr">
        <is>
          <t>2266746090002656</t>
        </is>
      </c>
      <c r="AZ558" t="inlineStr">
        <is>
          <t>BOOK</t>
        </is>
      </c>
      <c r="BB558" t="inlineStr">
        <is>
          <t>9781571052186</t>
        </is>
      </c>
      <c r="BC558" t="inlineStr">
        <is>
          <t>32285004428222</t>
        </is>
      </c>
      <c r="BD558" t="inlineStr">
        <is>
          <t>893881423</t>
        </is>
      </c>
    </row>
    <row r="559">
      <c r="A559" t="inlineStr">
        <is>
          <t>No</t>
        </is>
      </c>
      <c r="B559" t="inlineStr">
        <is>
          <t>HV6431 .S863 2002</t>
        </is>
      </c>
      <c r="C559" t="inlineStr">
        <is>
          <t>0                      HV 6431000S  863         2002</t>
        </is>
      </c>
      <c r="D559" t="inlineStr">
        <is>
          <t>Superterrorism : policy responses / edited by Lawrence Freedman.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L559" t="inlineStr">
        <is>
          <t>Malden, Mass. : Blackwell Pub., c2002.</t>
        </is>
      </c>
      <c r="M559" t="inlineStr">
        <is>
          <t>2002</t>
        </is>
      </c>
      <c r="O559" t="inlineStr">
        <is>
          <t>eng</t>
        </is>
      </c>
      <c r="P559" t="inlineStr">
        <is>
          <t>mau</t>
        </is>
      </c>
      <c r="R559" t="inlineStr">
        <is>
          <t xml:space="preserve">HV </t>
        </is>
      </c>
      <c r="S559" t="n">
        <v>7</v>
      </c>
      <c r="T559" t="n">
        <v>7</v>
      </c>
      <c r="U559" t="inlineStr">
        <is>
          <t>2004-11-03</t>
        </is>
      </c>
      <c r="V559" t="inlineStr">
        <is>
          <t>2004-11-03</t>
        </is>
      </c>
      <c r="W559" t="inlineStr">
        <is>
          <t>2003-08-12</t>
        </is>
      </c>
      <c r="X559" t="inlineStr">
        <is>
          <t>2003-08-12</t>
        </is>
      </c>
      <c r="Y559" t="n">
        <v>569</v>
      </c>
      <c r="Z559" t="n">
        <v>390</v>
      </c>
      <c r="AA559" t="n">
        <v>390</v>
      </c>
      <c r="AB559" t="n">
        <v>6</v>
      </c>
      <c r="AC559" t="n">
        <v>6</v>
      </c>
      <c r="AD559" t="n">
        <v>23</v>
      </c>
      <c r="AE559" t="n">
        <v>23</v>
      </c>
      <c r="AF559" t="n">
        <v>8</v>
      </c>
      <c r="AG559" t="n">
        <v>8</v>
      </c>
      <c r="AH559" t="n">
        <v>5</v>
      </c>
      <c r="AI559" t="n">
        <v>5</v>
      </c>
      <c r="AJ559" t="n">
        <v>9</v>
      </c>
      <c r="AK559" t="n">
        <v>9</v>
      </c>
      <c r="AL559" t="n">
        <v>5</v>
      </c>
      <c r="AM559" t="n">
        <v>5</v>
      </c>
      <c r="AN559" t="n">
        <v>1</v>
      </c>
      <c r="AO559" t="n">
        <v>1</v>
      </c>
      <c r="AP559" t="inlineStr">
        <is>
          <t>No</t>
        </is>
      </c>
      <c r="AQ559" t="inlineStr">
        <is>
          <t>No</t>
        </is>
      </c>
      <c r="AS559">
        <f>HYPERLINK("https://creighton-primo.hosted.exlibrisgroup.com/primo-explore/search?tab=default_tab&amp;search_scope=EVERYTHING&amp;vid=01CRU&amp;lang=en_US&amp;offset=0&amp;query=any,contains,991004081029702656","Catalog Record")</f>
        <v/>
      </c>
      <c r="AT559">
        <f>HYPERLINK("http://www.worldcat.org/oclc/50693199","WorldCat Record")</f>
        <v/>
      </c>
      <c r="AU559" t="inlineStr">
        <is>
          <t>798936525:eng</t>
        </is>
      </c>
      <c r="AV559" t="inlineStr">
        <is>
          <t>50693199</t>
        </is>
      </c>
      <c r="AW559" t="inlineStr">
        <is>
          <t>991004081029702656</t>
        </is>
      </c>
      <c r="AX559" t="inlineStr">
        <is>
          <t>991004081029702656</t>
        </is>
      </c>
      <c r="AY559" t="inlineStr">
        <is>
          <t>2256199620002656</t>
        </is>
      </c>
      <c r="AZ559" t="inlineStr">
        <is>
          <t>BOOK</t>
        </is>
      </c>
      <c r="BB559" t="inlineStr">
        <is>
          <t>9781405105934</t>
        </is>
      </c>
      <c r="BC559" t="inlineStr">
        <is>
          <t>32285004759246</t>
        </is>
      </c>
      <c r="BD559" t="inlineStr">
        <is>
          <t>893519224</t>
        </is>
      </c>
    </row>
    <row r="560">
      <c r="A560" t="inlineStr">
        <is>
          <t>No</t>
        </is>
      </c>
      <c r="B560" t="inlineStr">
        <is>
          <t>HV6431 .T463 1984</t>
        </is>
      </c>
      <c r="C560" t="inlineStr">
        <is>
          <t>0                      HV 6431000T  463         1984</t>
        </is>
      </c>
      <c r="D560" t="inlineStr">
        <is>
          <t>Terrorism and the media in the 1980's : the proceedings of a conference held April 14, 1983 / cosponsored by Transnational Communications Center, the Media Institute and Institute for Studies in International Terrorism, State University of New York ; edited by Sarah Midgley and Virginia Rice ; with an introduction by Morris I. Leibman.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Washington, D.C. : TCC, The Institute, c1984.</t>
        </is>
      </c>
      <c r="M560" t="inlineStr">
        <is>
          <t>1984</t>
        </is>
      </c>
      <c r="O560" t="inlineStr">
        <is>
          <t>eng</t>
        </is>
      </c>
      <c r="P560" t="inlineStr">
        <is>
          <t>dcu</t>
        </is>
      </c>
      <c r="R560" t="inlineStr">
        <is>
          <t xml:space="preserve">HV </t>
        </is>
      </c>
      <c r="S560" t="n">
        <v>9</v>
      </c>
      <c r="T560" t="n">
        <v>9</v>
      </c>
      <c r="U560" t="inlineStr">
        <is>
          <t>2004-11-03</t>
        </is>
      </c>
      <c r="V560" t="inlineStr">
        <is>
          <t>2004-11-03</t>
        </is>
      </c>
      <c r="W560" t="inlineStr">
        <is>
          <t>1990-07-06</t>
        </is>
      </c>
      <c r="X560" t="inlineStr">
        <is>
          <t>1990-07-06</t>
        </is>
      </c>
      <c r="Y560" t="n">
        <v>86</v>
      </c>
      <c r="Z560" t="n">
        <v>74</v>
      </c>
      <c r="AA560" t="n">
        <v>90</v>
      </c>
      <c r="AB560" t="n">
        <v>1</v>
      </c>
      <c r="AC560" t="n">
        <v>3</v>
      </c>
      <c r="AD560" t="n">
        <v>5</v>
      </c>
      <c r="AE560" t="n">
        <v>8</v>
      </c>
      <c r="AF560" t="n">
        <v>1</v>
      </c>
      <c r="AG560" t="n">
        <v>1</v>
      </c>
      <c r="AH560" t="n">
        <v>0</v>
      </c>
      <c r="AI560" t="n">
        <v>1</v>
      </c>
      <c r="AJ560" t="n">
        <v>4</v>
      </c>
      <c r="AK560" t="n">
        <v>5</v>
      </c>
      <c r="AL560" t="n">
        <v>0</v>
      </c>
      <c r="AM560" t="n">
        <v>2</v>
      </c>
      <c r="AN560" t="n">
        <v>1</v>
      </c>
      <c r="AO560" t="n">
        <v>1</v>
      </c>
      <c r="AP560" t="inlineStr">
        <is>
          <t>No</t>
        </is>
      </c>
      <c r="AQ560" t="inlineStr">
        <is>
          <t>No</t>
        </is>
      </c>
      <c r="AS560">
        <f>HYPERLINK("https://creighton-primo.hosted.exlibrisgroup.com/primo-explore/search?tab=default_tab&amp;search_scope=EVERYTHING&amp;vid=01CRU&amp;lang=en_US&amp;offset=0&amp;query=any,contains,991000547109702656","Catalog Record")</f>
        <v/>
      </c>
      <c r="AT560">
        <f>HYPERLINK("http://www.worldcat.org/oclc/11518974","WorldCat Record")</f>
        <v/>
      </c>
      <c r="AU560" t="inlineStr">
        <is>
          <t>3950722:eng</t>
        </is>
      </c>
      <c r="AV560" t="inlineStr">
        <is>
          <t>11518974</t>
        </is>
      </c>
      <c r="AW560" t="inlineStr">
        <is>
          <t>991000547109702656</t>
        </is>
      </c>
      <c r="AX560" t="inlineStr">
        <is>
          <t>991000547109702656</t>
        </is>
      </c>
      <c r="AY560" t="inlineStr">
        <is>
          <t>2269689210002656</t>
        </is>
      </c>
      <c r="AZ560" t="inlineStr">
        <is>
          <t>BOOK</t>
        </is>
      </c>
      <c r="BB560" t="inlineStr">
        <is>
          <t>9780937790267</t>
        </is>
      </c>
      <c r="BC560" t="inlineStr">
        <is>
          <t>32285000226117</t>
        </is>
      </c>
      <c r="BD560" t="inlineStr">
        <is>
          <t>893237405</t>
        </is>
      </c>
    </row>
    <row r="561">
      <c r="A561" t="inlineStr">
        <is>
          <t>No</t>
        </is>
      </c>
      <c r="B561" t="inlineStr">
        <is>
          <t>HV6431 .T465 v. 13</t>
        </is>
      </c>
      <c r="C561" t="inlineStr">
        <is>
          <t>0                      HV 6431000T  465                                                     v. 13</t>
        </is>
      </c>
      <c r="D561" t="inlineStr">
        <is>
          <t>Balancing civil rights and security : American judicial responses since 9/11 / [edited by] Donald J. Musch.</t>
        </is>
      </c>
      <c r="E561" t="inlineStr">
        <is>
          <t>V. 13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L561" t="inlineStr">
        <is>
          <t>Dobbs Ferry, N.Y. : Oceana Publications, 2003.</t>
        </is>
      </c>
      <c r="M561" t="inlineStr">
        <is>
          <t>2003</t>
        </is>
      </c>
      <c r="O561" t="inlineStr">
        <is>
          <t>eng</t>
        </is>
      </c>
      <c r="P561" t="inlineStr">
        <is>
          <t>nyu</t>
        </is>
      </c>
      <c r="Q561" t="inlineStr">
        <is>
          <t>Terrorism : documents of international &amp; local control. Second series, 1064-9352 ; v. 13</t>
        </is>
      </c>
      <c r="R561" t="inlineStr">
        <is>
          <t xml:space="preserve">HV </t>
        </is>
      </c>
      <c r="S561" t="n">
        <v>2</v>
      </c>
      <c r="T561" t="n">
        <v>2</v>
      </c>
      <c r="U561" t="inlineStr">
        <is>
          <t>2005-03-28</t>
        </is>
      </c>
      <c r="V561" t="inlineStr">
        <is>
          <t>2005-03-28</t>
        </is>
      </c>
      <c r="W561" t="inlineStr">
        <is>
          <t>2003-04-30</t>
        </is>
      </c>
      <c r="X561" t="inlineStr">
        <is>
          <t>2003-04-30</t>
        </is>
      </c>
      <c r="Y561" t="n">
        <v>283</v>
      </c>
      <c r="Z561" t="n">
        <v>232</v>
      </c>
      <c r="AA561" t="n">
        <v>238</v>
      </c>
      <c r="AB561" t="n">
        <v>2</v>
      </c>
      <c r="AC561" t="n">
        <v>2</v>
      </c>
      <c r="AD561" t="n">
        <v>20</v>
      </c>
      <c r="AE561" t="n">
        <v>20</v>
      </c>
      <c r="AF561" t="n">
        <v>2</v>
      </c>
      <c r="AG561" t="n">
        <v>2</v>
      </c>
      <c r="AH561" t="n">
        <v>1</v>
      </c>
      <c r="AI561" t="n">
        <v>1</v>
      </c>
      <c r="AJ561" t="n">
        <v>3</v>
      </c>
      <c r="AK561" t="n">
        <v>3</v>
      </c>
      <c r="AL561" t="n">
        <v>1</v>
      </c>
      <c r="AM561" t="n">
        <v>1</v>
      </c>
      <c r="AN561" t="n">
        <v>14</v>
      </c>
      <c r="AO561" t="n">
        <v>14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HYPERLINK("https://creighton-primo.hosted.exlibrisgroup.com/primo-explore/search?tab=default_tab&amp;search_scope=EVERYTHING&amp;vid=01CRU&amp;lang=en_US&amp;offset=0&amp;query=any,contains,991004039209702656","Catalog Record")</f>
        <v/>
      </c>
      <c r="AT561">
        <f>HYPERLINK("http://www.worldcat.org/oclc/52099861","WorldCat Record")</f>
        <v/>
      </c>
      <c r="AU561" t="inlineStr">
        <is>
          <t>341726930:eng</t>
        </is>
      </c>
      <c r="AV561" t="inlineStr">
        <is>
          <t>52099861</t>
        </is>
      </c>
      <c r="AW561" t="inlineStr">
        <is>
          <t>991004039209702656</t>
        </is>
      </c>
      <c r="AX561" t="inlineStr">
        <is>
          <t>991004039209702656</t>
        </is>
      </c>
      <c r="AY561" t="inlineStr">
        <is>
          <t>2258110540002656</t>
        </is>
      </c>
      <c r="AZ561" t="inlineStr">
        <is>
          <t>BOOK</t>
        </is>
      </c>
      <c r="BB561" t="inlineStr">
        <is>
          <t>9780379215021</t>
        </is>
      </c>
      <c r="BC561" t="inlineStr">
        <is>
          <t>32285004743430</t>
        </is>
      </c>
      <c r="BD561" t="inlineStr">
        <is>
          <t>893800517</t>
        </is>
      </c>
    </row>
    <row r="562">
      <c r="A562" t="inlineStr">
        <is>
          <t>No</t>
        </is>
      </c>
      <c r="B562" t="inlineStr">
        <is>
          <t>HV6431 .T465 v. 14</t>
        </is>
      </c>
      <c r="C562" t="inlineStr">
        <is>
          <t>0                      HV 6431000T  465                                                     v. 14</t>
        </is>
      </c>
      <c r="D562" t="inlineStr">
        <is>
          <t>Civil liberties and the Foreign Intelligence Surveillance Act / [edited by] Donald J. Musch.</t>
        </is>
      </c>
      <c r="E562" t="inlineStr">
        <is>
          <t>V. 14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L562" t="inlineStr">
        <is>
          <t>Dobbs Ferry, N.Y. : Oceana Publications, 2003.</t>
        </is>
      </c>
      <c r="M562" t="inlineStr">
        <is>
          <t>2003</t>
        </is>
      </c>
      <c r="O562" t="inlineStr">
        <is>
          <t>eng</t>
        </is>
      </c>
      <c r="P562" t="inlineStr">
        <is>
          <t>nyu</t>
        </is>
      </c>
      <c r="Q562" t="inlineStr">
        <is>
          <t>Terrorism : documents of international &amp; local control. Second series, 1064-9352 ; v. 14</t>
        </is>
      </c>
      <c r="R562" t="inlineStr">
        <is>
          <t xml:space="preserve">HV </t>
        </is>
      </c>
      <c r="S562" t="n">
        <v>2</v>
      </c>
      <c r="T562" t="n">
        <v>2</v>
      </c>
      <c r="U562" t="inlineStr">
        <is>
          <t>2006-03-26</t>
        </is>
      </c>
      <c r="V562" t="inlineStr">
        <is>
          <t>2006-03-26</t>
        </is>
      </c>
      <c r="W562" t="inlineStr">
        <is>
          <t>2003-10-08</t>
        </is>
      </c>
      <c r="X562" t="inlineStr">
        <is>
          <t>2003-10-08</t>
        </is>
      </c>
      <c r="Y562" t="n">
        <v>265</v>
      </c>
      <c r="Z562" t="n">
        <v>227</v>
      </c>
      <c r="AA562" t="n">
        <v>229</v>
      </c>
      <c r="AB562" t="n">
        <v>2</v>
      </c>
      <c r="AC562" t="n">
        <v>2</v>
      </c>
      <c r="AD562" t="n">
        <v>14</v>
      </c>
      <c r="AE562" t="n">
        <v>14</v>
      </c>
      <c r="AF562" t="n">
        <v>1</v>
      </c>
      <c r="AG562" t="n">
        <v>1</v>
      </c>
      <c r="AH562" t="n">
        <v>1</v>
      </c>
      <c r="AI562" t="n">
        <v>1</v>
      </c>
      <c r="AJ562" t="n">
        <v>1</v>
      </c>
      <c r="AK562" t="n">
        <v>1</v>
      </c>
      <c r="AL562" t="n">
        <v>1</v>
      </c>
      <c r="AM562" t="n">
        <v>1</v>
      </c>
      <c r="AN562" t="n">
        <v>11</v>
      </c>
      <c r="AO562" t="n">
        <v>11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HYPERLINK("http://catalog.hathitrust.org/Record/003871409","HathiTrust Record")</f>
        <v/>
      </c>
      <c r="AS562">
        <f>HYPERLINK("https://creighton-primo.hosted.exlibrisgroup.com/primo-explore/search?tab=default_tab&amp;search_scope=EVERYTHING&amp;vid=01CRU&amp;lang=en_US&amp;offset=0&amp;query=any,contains,991004144989702656","Catalog Record")</f>
        <v/>
      </c>
      <c r="AT562">
        <f>HYPERLINK("http://www.worldcat.org/oclc/53079007","WorldCat Record")</f>
        <v/>
      </c>
      <c r="AU562" t="inlineStr">
        <is>
          <t>11151875:eng</t>
        </is>
      </c>
      <c r="AV562" t="inlineStr">
        <is>
          <t>53079007</t>
        </is>
      </c>
      <c r="AW562" t="inlineStr">
        <is>
          <t>991004144989702656</t>
        </is>
      </c>
      <c r="AX562" t="inlineStr">
        <is>
          <t>991004144989702656</t>
        </is>
      </c>
      <c r="AY562" t="inlineStr">
        <is>
          <t>2271596350002656</t>
        </is>
      </c>
      <c r="AZ562" t="inlineStr">
        <is>
          <t>BOOK</t>
        </is>
      </c>
      <c r="BB562" t="inlineStr">
        <is>
          <t>9780379215038</t>
        </is>
      </c>
      <c r="BC562" t="inlineStr">
        <is>
          <t>32285004787395</t>
        </is>
      </c>
      <c r="BD562" t="inlineStr">
        <is>
          <t>893318851</t>
        </is>
      </c>
    </row>
    <row r="563">
      <c r="A563" t="inlineStr">
        <is>
          <t>No</t>
        </is>
      </c>
      <c r="B563" t="inlineStr">
        <is>
          <t>HV6431 .T465 v. 15</t>
        </is>
      </c>
      <c r="C563" t="inlineStr">
        <is>
          <t>0                      HV 6431000T  465                                                     v. 15</t>
        </is>
      </c>
      <c r="D563" t="inlineStr">
        <is>
          <t>The Lockerbie trial : a documentary history / [edited by] John P. Grant.</t>
        </is>
      </c>
      <c r="E563" t="inlineStr">
        <is>
          <t>V. 15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L563" t="inlineStr">
        <is>
          <t>Dobbs Ferry, N.Y. : Oceana Publications, c2004.</t>
        </is>
      </c>
      <c r="M563" t="inlineStr">
        <is>
          <t>2004</t>
        </is>
      </c>
      <c r="O563" t="inlineStr">
        <is>
          <t>eng</t>
        </is>
      </c>
      <c r="P563" t="inlineStr">
        <is>
          <t>nyu</t>
        </is>
      </c>
      <c r="Q563" t="inlineStr">
        <is>
          <t>Terrorism, 1064-9352 ; 2nd ser., 15th v.</t>
        </is>
      </c>
      <c r="R563" t="inlineStr">
        <is>
          <t xml:space="preserve">HV </t>
        </is>
      </c>
      <c r="S563" t="n">
        <v>1</v>
      </c>
      <c r="T563" t="n">
        <v>1</v>
      </c>
      <c r="U563" t="inlineStr">
        <is>
          <t>2004-03-23</t>
        </is>
      </c>
      <c r="V563" t="inlineStr">
        <is>
          <t>2004-03-23</t>
        </is>
      </c>
      <c r="W563" t="inlineStr">
        <is>
          <t>2004-03-23</t>
        </is>
      </c>
      <c r="X563" t="inlineStr">
        <is>
          <t>2004-03-23</t>
        </is>
      </c>
      <c r="Y563" t="n">
        <v>264</v>
      </c>
      <c r="Z563" t="n">
        <v>206</v>
      </c>
      <c r="AA563" t="n">
        <v>208</v>
      </c>
      <c r="AB563" t="n">
        <v>2</v>
      </c>
      <c r="AC563" t="n">
        <v>2</v>
      </c>
      <c r="AD563" t="n">
        <v>19</v>
      </c>
      <c r="AE563" t="n">
        <v>19</v>
      </c>
      <c r="AF563" t="n">
        <v>1</v>
      </c>
      <c r="AG563" t="n">
        <v>1</v>
      </c>
      <c r="AH563" t="n">
        <v>1</v>
      </c>
      <c r="AI563" t="n">
        <v>1</v>
      </c>
      <c r="AJ563" t="n">
        <v>1</v>
      </c>
      <c r="AK563" t="n">
        <v>1</v>
      </c>
      <c r="AL563" t="n">
        <v>1</v>
      </c>
      <c r="AM563" t="n">
        <v>1</v>
      </c>
      <c r="AN563" t="n">
        <v>16</v>
      </c>
      <c r="AO563" t="n">
        <v>16</v>
      </c>
      <c r="AP563" t="inlineStr">
        <is>
          <t>No</t>
        </is>
      </c>
      <c r="AQ563" t="inlineStr">
        <is>
          <t>Yes</t>
        </is>
      </c>
      <c r="AR563">
        <f>HYPERLINK("http://catalog.hathitrust.org/Record/004767473","HathiTrust Record")</f>
        <v/>
      </c>
      <c r="AS563">
        <f>HYPERLINK("https://creighton-primo.hosted.exlibrisgroup.com/primo-explore/search?tab=default_tab&amp;search_scope=EVERYTHING&amp;vid=01CRU&amp;lang=en_US&amp;offset=0&amp;query=any,contains,991004266629702656","Catalog Record")</f>
        <v/>
      </c>
      <c r="AT563">
        <f>HYPERLINK("http://www.worldcat.org/oclc/54679090","WorldCat Record")</f>
        <v/>
      </c>
      <c r="AU563" t="inlineStr">
        <is>
          <t>13700513:eng</t>
        </is>
      </c>
      <c r="AV563" t="inlineStr">
        <is>
          <t>54679090</t>
        </is>
      </c>
      <c r="AW563" t="inlineStr">
        <is>
          <t>991004266629702656</t>
        </is>
      </c>
      <c r="AX563" t="inlineStr">
        <is>
          <t>991004266629702656</t>
        </is>
      </c>
      <c r="AY563" t="inlineStr">
        <is>
          <t>2267353650002656</t>
        </is>
      </c>
      <c r="AZ563" t="inlineStr">
        <is>
          <t>BOOK</t>
        </is>
      </c>
      <c r="BB563" t="inlineStr">
        <is>
          <t>9780379215120</t>
        </is>
      </c>
      <c r="BC563" t="inlineStr">
        <is>
          <t>32285004896196</t>
        </is>
      </c>
      <c r="BD563" t="inlineStr">
        <is>
          <t>893411319</t>
        </is>
      </c>
    </row>
    <row r="564">
      <c r="A564" t="inlineStr">
        <is>
          <t>No</t>
        </is>
      </c>
      <c r="B564" t="inlineStr">
        <is>
          <t>HV6431 .T465 v. 16</t>
        </is>
      </c>
      <c r="C564" t="inlineStr">
        <is>
          <t>0                      HV 6431000T  465                                                     v. 16</t>
        </is>
      </c>
      <c r="D564" t="inlineStr">
        <is>
          <t>International terrorism agreements : documents and commentary / [compiled and with commentary by] Donald J. Musch.</t>
        </is>
      </c>
      <c r="E564" t="inlineStr">
        <is>
          <t>V. 16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L564" t="inlineStr">
        <is>
          <t>Dobbs Ferry, N.Y. : Oceana Publications, c2004.</t>
        </is>
      </c>
      <c r="M564" t="inlineStr">
        <is>
          <t>2004</t>
        </is>
      </c>
      <c r="O564" t="inlineStr">
        <is>
          <t>eng</t>
        </is>
      </c>
      <c r="P564" t="inlineStr">
        <is>
          <t>nyu</t>
        </is>
      </c>
      <c r="Q564" t="inlineStr">
        <is>
          <t>Terrorism, 1064-9352 ; 2nd ser., 16th v.</t>
        </is>
      </c>
      <c r="R564" t="inlineStr">
        <is>
          <t xml:space="preserve">HV </t>
        </is>
      </c>
      <c r="S564" t="n">
        <v>1</v>
      </c>
      <c r="T564" t="n">
        <v>1</v>
      </c>
      <c r="U564" t="inlineStr">
        <is>
          <t>2004-12-07</t>
        </is>
      </c>
      <c r="V564" t="inlineStr">
        <is>
          <t>2004-12-07</t>
        </is>
      </c>
      <c r="W564" t="inlineStr">
        <is>
          <t>2004-12-07</t>
        </is>
      </c>
      <c r="X564" t="inlineStr">
        <is>
          <t>2004-12-07</t>
        </is>
      </c>
      <c r="Y564" t="n">
        <v>210</v>
      </c>
      <c r="Z564" t="n">
        <v>162</v>
      </c>
      <c r="AA564" t="n">
        <v>164</v>
      </c>
      <c r="AB564" t="n">
        <v>2</v>
      </c>
      <c r="AC564" t="n">
        <v>2</v>
      </c>
      <c r="AD564" t="n">
        <v>10</v>
      </c>
      <c r="AE564" t="n">
        <v>10</v>
      </c>
      <c r="AF564" t="n">
        <v>0</v>
      </c>
      <c r="AG564" t="n">
        <v>0</v>
      </c>
      <c r="AH564" t="n">
        <v>1</v>
      </c>
      <c r="AI564" t="n">
        <v>1</v>
      </c>
      <c r="AJ564" t="n">
        <v>1</v>
      </c>
      <c r="AK564" t="n">
        <v>1</v>
      </c>
      <c r="AL564" t="n">
        <v>1</v>
      </c>
      <c r="AM564" t="n">
        <v>1</v>
      </c>
      <c r="AN564" t="n">
        <v>8</v>
      </c>
      <c r="AO564" t="n">
        <v>8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HYPERLINK("http://catalog.hathitrust.org/Record/005087203","HathiTrust Record")</f>
        <v/>
      </c>
      <c r="AS564">
        <f>HYPERLINK("https://creighton-primo.hosted.exlibrisgroup.com/primo-explore/search?tab=default_tab&amp;search_scope=EVERYTHING&amp;vid=01CRU&amp;lang=en_US&amp;offset=0&amp;query=any,contains,991004426159702656","Catalog Record")</f>
        <v/>
      </c>
      <c r="AT564">
        <f>HYPERLINK("http://www.worldcat.org/oclc/56952324","WorldCat Record")</f>
        <v/>
      </c>
      <c r="AU564" t="inlineStr">
        <is>
          <t>196099377:eng</t>
        </is>
      </c>
      <c r="AV564" t="inlineStr">
        <is>
          <t>56952324</t>
        </is>
      </c>
      <c r="AW564" t="inlineStr">
        <is>
          <t>991004426159702656</t>
        </is>
      </c>
      <c r="AX564" t="inlineStr">
        <is>
          <t>991004426159702656</t>
        </is>
      </c>
      <c r="AY564" t="inlineStr">
        <is>
          <t>2260767850002656</t>
        </is>
      </c>
      <c r="AZ564" t="inlineStr">
        <is>
          <t>BOOK</t>
        </is>
      </c>
      <c r="BB564" t="inlineStr">
        <is>
          <t>9780379215359</t>
        </is>
      </c>
      <c r="BC564" t="inlineStr">
        <is>
          <t>32285005015978</t>
        </is>
      </c>
      <c r="BD564" t="inlineStr">
        <is>
          <t>893599823</t>
        </is>
      </c>
    </row>
    <row r="565">
      <c r="A565" t="inlineStr">
        <is>
          <t>No</t>
        </is>
      </c>
      <c r="B565" t="inlineStr">
        <is>
          <t>HV6431 .T465 v. 17</t>
        </is>
      </c>
      <c r="C565" t="inlineStr">
        <is>
          <t>0                      HV 6431000T  465                                                     v. 17</t>
        </is>
      </c>
      <c r="D565" t="inlineStr">
        <is>
          <t>The 9/11 Commission : proceedings and analysis / [edited by] James R. Holbein.</t>
        </is>
      </c>
      <c r="E565" t="inlineStr">
        <is>
          <t>V. 17 BK. 1</t>
        </is>
      </c>
      <c r="F565" t="inlineStr">
        <is>
          <t>Yes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L565" t="inlineStr">
        <is>
          <t>Dobbs Ferry, N.Y. : Oceana Publications, c2005.</t>
        </is>
      </c>
      <c r="M565" t="inlineStr">
        <is>
          <t>2005</t>
        </is>
      </c>
      <c r="O565" t="inlineStr">
        <is>
          <t>eng</t>
        </is>
      </c>
      <c r="P565" t="inlineStr">
        <is>
          <t>nyu</t>
        </is>
      </c>
      <c r="Q565" t="inlineStr">
        <is>
          <t>Terrorism, Documents of International and Local Control, 1064-9352 ; 2nd ser., v. 17</t>
        </is>
      </c>
      <c r="R565" t="inlineStr">
        <is>
          <t xml:space="preserve">HV </t>
        </is>
      </c>
      <c r="S565" t="n">
        <v>1</v>
      </c>
      <c r="T565" t="n">
        <v>4</v>
      </c>
      <c r="U565" t="inlineStr">
        <is>
          <t>2005-03-07</t>
        </is>
      </c>
      <c r="V565" t="inlineStr">
        <is>
          <t>2005-03-07</t>
        </is>
      </c>
      <c r="W565" t="inlineStr">
        <is>
          <t>2005-03-07</t>
        </is>
      </c>
      <c r="X565" t="inlineStr">
        <is>
          <t>2005-03-07</t>
        </is>
      </c>
      <c r="Y565" t="n">
        <v>292</v>
      </c>
      <c r="Z565" t="n">
        <v>243</v>
      </c>
      <c r="AA565" t="n">
        <v>248</v>
      </c>
      <c r="AB565" t="n">
        <v>3</v>
      </c>
      <c r="AC565" t="n">
        <v>3</v>
      </c>
      <c r="AD565" t="n">
        <v>18</v>
      </c>
      <c r="AE565" t="n">
        <v>18</v>
      </c>
      <c r="AF565" t="n">
        <v>1</v>
      </c>
      <c r="AG565" t="n">
        <v>1</v>
      </c>
      <c r="AH565" t="n">
        <v>1</v>
      </c>
      <c r="AI565" t="n">
        <v>1</v>
      </c>
      <c r="AJ565" t="n">
        <v>6</v>
      </c>
      <c r="AK565" t="n">
        <v>6</v>
      </c>
      <c r="AL565" t="n">
        <v>2</v>
      </c>
      <c r="AM565" t="n">
        <v>2</v>
      </c>
      <c r="AN565" t="n">
        <v>10</v>
      </c>
      <c r="AO565" t="n">
        <v>10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HYPERLINK("http://catalog.hathitrust.org/Record/005019229","HathiTrust Record")</f>
        <v/>
      </c>
      <c r="AS565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5">
        <f>HYPERLINK("http://www.worldcat.org/oclc/57593107","WorldCat Record")</f>
        <v/>
      </c>
      <c r="AU565" t="inlineStr">
        <is>
          <t>899375:eng</t>
        </is>
      </c>
      <c r="AV565" t="inlineStr">
        <is>
          <t>57593107</t>
        </is>
      </c>
      <c r="AW565" t="inlineStr">
        <is>
          <t>991004478169702656</t>
        </is>
      </c>
      <c r="AX565" t="inlineStr">
        <is>
          <t>991004478169702656</t>
        </is>
      </c>
      <c r="AY565" t="inlineStr">
        <is>
          <t>2271524680002656</t>
        </is>
      </c>
      <c r="AZ565" t="inlineStr">
        <is>
          <t>BOOK</t>
        </is>
      </c>
      <c r="BB565" t="inlineStr">
        <is>
          <t>9780379215274</t>
        </is>
      </c>
      <c r="BC565" t="inlineStr">
        <is>
          <t>32285005027445</t>
        </is>
      </c>
      <c r="BD565" t="inlineStr">
        <is>
          <t>893706466</t>
        </is>
      </c>
    </row>
    <row r="566">
      <c r="A566" t="inlineStr">
        <is>
          <t>No</t>
        </is>
      </c>
      <c r="B566" t="inlineStr">
        <is>
          <t>HV6431 .T465 v. 17</t>
        </is>
      </c>
      <c r="C566" t="inlineStr">
        <is>
          <t>0                      HV 6431000T  465                                                     v. 17</t>
        </is>
      </c>
      <c r="D566" t="inlineStr">
        <is>
          <t>The 9/11 Commission : proceedings and analysis / [edited by] James R. Holbein.</t>
        </is>
      </c>
      <c r="E566" t="inlineStr">
        <is>
          <t>V. 17 BK. 2</t>
        </is>
      </c>
      <c r="F566" t="inlineStr">
        <is>
          <t>Yes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L566" t="inlineStr">
        <is>
          <t>Dobbs Ferry, N.Y. : Oceana Publications, c2005.</t>
        </is>
      </c>
      <c r="M566" t="inlineStr">
        <is>
          <t>2005</t>
        </is>
      </c>
      <c r="O566" t="inlineStr">
        <is>
          <t>eng</t>
        </is>
      </c>
      <c r="P566" t="inlineStr">
        <is>
          <t>nyu</t>
        </is>
      </c>
      <c r="Q566" t="inlineStr">
        <is>
          <t>Terrorism, Documents of International and Local Control, 1064-9352 ; 2nd ser., v. 17</t>
        </is>
      </c>
      <c r="R566" t="inlineStr">
        <is>
          <t xml:space="preserve">HV </t>
        </is>
      </c>
      <c r="S566" t="n">
        <v>1</v>
      </c>
      <c r="T566" t="n">
        <v>4</v>
      </c>
      <c r="U566" t="inlineStr">
        <is>
          <t>2005-03-07</t>
        </is>
      </c>
      <c r="V566" t="inlineStr">
        <is>
          <t>2005-03-07</t>
        </is>
      </c>
      <c r="W566" t="inlineStr">
        <is>
          <t>2005-03-07</t>
        </is>
      </c>
      <c r="X566" t="inlineStr">
        <is>
          <t>2005-03-07</t>
        </is>
      </c>
      <c r="Y566" t="n">
        <v>292</v>
      </c>
      <c r="Z566" t="n">
        <v>243</v>
      </c>
      <c r="AA566" t="n">
        <v>248</v>
      </c>
      <c r="AB566" t="n">
        <v>3</v>
      </c>
      <c r="AC566" t="n">
        <v>3</v>
      </c>
      <c r="AD566" t="n">
        <v>18</v>
      </c>
      <c r="AE566" t="n">
        <v>18</v>
      </c>
      <c r="AF566" t="n">
        <v>1</v>
      </c>
      <c r="AG566" t="n">
        <v>1</v>
      </c>
      <c r="AH566" t="n">
        <v>1</v>
      </c>
      <c r="AI566" t="n">
        <v>1</v>
      </c>
      <c r="AJ566" t="n">
        <v>6</v>
      </c>
      <c r="AK566" t="n">
        <v>6</v>
      </c>
      <c r="AL566" t="n">
        <v>2</v>
      </c>
      <c r="AM566" t="n">
        <v>2</v>
      </c>
      <c r="AN566" t="n">
        <v>10</v>
      </c>
      <c r="AO566" t="n">
        <v>10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HYPERLINK("http://catalog.hathitrust.org/Record/005019229","HathiTrust Record")</f>
        <v/>
      </c>
      <c r="AS566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6">
        <f>HYPERLINK("http://www.worldcat.org/oclc/57593107","WorldCat Record")</f>
        <v/>
      </c>
      <c r="AU566" t="inlineStr">
        <is>
          <t>899375:eng</t>
        </is>
      </c>
      <c r="AV566" t="inlineStr">
        <is>
          <t>57593107</t>
        </is>
      </c>
      <c r="AW566" t="inlineStr">
        <is>
          <t>991004478169702656</t>
        </is>
      </c>
      <c r="AX566" t="inlineStr">
        <is>
          <t>991004478169702656</t>
        </is>
      </c>
      <c r="AY566" t="inlineStr">
        <is>
          <t>2271524680002656</t>
        </is>
      </c>
      <c r="AZ566" t="inlineStr">
        <is>
          <t>BOOK</t>
        </is>
      </c>
      <c r="BB566" t="inlineStr">
        <is>
          <t>9780379215274</t>
        </is>
      </c>
      <c r="BC566" t="inlineStr">
        <is>
          <t>32285005027452</t>
        </is>
      </c>
      <c r="BD566" t="inlineStr">
        <is>
          <t>893693991</t>
        </is>
      </c>
    </row>
    <row r="567">
      <c r="A567" t="inlineStr">
        <is>
          <t>No</t>
        </is>
      </c>
      <c r="B567" t="inlineStr">
        <is>
          <t>HV6431 .T465 v. 17</t>
        </is>
      </c>
      <c r="C567" t="inlineStr">
        <is>
          <t>0                      HV 6431000T  465                                                     v. 17</t>
        </is>
      </c>
      <c r="D567" t="inlineStr">
        <is>
          <t>The 9/11 Commission : proceedings and analysis / [edited by] James R. Holbein.</t>
        </is>
      </c>
      <c r="E567" t="inlineStr">
        <is>
          <t>V. 17 BK. 3</t>
        </is>
      </c>
      <c r="F567" t="inlineStr">
        <is>
          <t>Yes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Dobbs Ferry, N.Y. : Oceana Publications, c2005.</t>
        </is>
      </c>
      <c r="M567" t="inlineStr">
        <is>
          <t>2005</t>
        </is>
      </c>
      <c r="O567" t="inlineStr">
        <is>
          <t>eng</t>
        </is>
      </c>
      <c r="P567" t="inlineStr">
        <is>
          <t>nyu</t>
        </is>
      </c>
      <c r="Q567" t="inlineStr">
        <is>
          <t>Terrorism, Documents of International and Local Control, 1064-9352 ; 2nd ser., v. 17</t>
        </is>
      </c>
      <c r="R567" t="inlineStr">
        <is>
          <t xml:space="preserve">HV </t>
        </is>
      </c>
      <c r="S567" t="n">
        <v>1</v>
      </c>
      <c r="T567" t="n">
        <v>4</v>
      </c>
      <c r="U567" t="inlineStr">
        <is>
          <t>2005-03-07</t>
        </is>
      </c>
      <c r="V567" t="inlineStr">
        <is>
          <t>2005-03-07</t>
        </is>
      </c>
      <c r="W567" t="inlineStr">
        <is>
          <t>2005-03-07</t>
        </is>
      </c>
      <c r="X567" t="inlineStr">
        <is>
          <t>2005-03-07</t>
        </is>
      </c>
      <c r="Y567" t="n">
        <v>292</v>
      </c>
      <c r="Z567" t="n">
        <v>243</v>
      </c>
      <c r="AA567" t="n">
        <v>248</v>
      </c>
      <c r="AB567" t="n">
        <v>3</v>
      </c>
      <c r="AC567" t="n">
        <v>3</v>
      </c>
      <c r="AD567" t="n">
        <v>18</v>
      </c>
      <c r="AE567" t="n">
        <v>18</v>
      </c>
      <c r="AF567" t="n">
        <v>1</v>
      </c>
      <c r="AG567" t="n">
        <v>1</v>
      </c>
      <c r="AH567" t="n">
        <v>1</v>
      </c>
      <c r="AI567" t="n">
        <v>1</v>
      </c>
      <c r="AJ567" t="n">
        <v>6</v>
      </c>
      <c r="AK567" t="n">
        <v>6</v>
      </c>
      <c r="AL567" t="n">
        <v>2</v>
      </c>
      <c r="AM567" t="n">
        <v>2</v>
      </c>
      <c r="AN567" t="n">
        <v>10</v>
      </c>
      <c r="AO567" t="n">
        <v>10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HYPERLINK("http://catalog.hathitrust.org/Record/005019229","HathiTrust Record")</f>
        <v/>
      </c>
      <c r="AS567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7">
        <f>HYPERLINK("http://www.worldcat.org/oclc/57593107","WorldCat Record")</f>
        <v/>
      </c>
      <c r="AU567" t="inlineStr">
        <is>
          <t>899375:eng</t>
        </is>
      </c>
      <c r="AV567" t="inlineStr">
        <is>
          <t>57593107</t>
        </is>
      </c>
      <c r="AW567" t="inlineStr">
        <is>
          <t>991004478169702656</t>
        </is>
      </c>
      <c r="AX567" t="inlineStr">
        <is>
          <t>991004478169702656</t>
        </is>
      </c>
      <c r="AY567" t="inlineStr">
        <is>
          <t>2271524680002656</t>
        </is>
      </c>
      <c r="AZ567" t="inlineStr">
        <is>
          <t>BOOK</t>
        </is>
      </c>
      <c r="BB567" t="inlineStr">
        <is>
          <t>9780379215274</t>
        </is>
      </c>
      <c r="BC567" t="inlineStr">
        <is>
          <t>32285005027460</t>
        </is>
      </c>
      <c r="BD567" t="inlineStr">
        <is>
          <t>893706468</t>
        </is>
      </c>
    </row>
    <row r="568">
      <c r="A568" t="inlineStr">
        <is>
          <t>No</t>
        </is>
      </c>
      <c r="B568" t="inlineStr">
        <is>
          <t>HV6431 .T465 v. 17</t>
        </is>
      </c>
      <c r="C568" t="inlineStr">
        <is>
          <t>0                      HV 6431000T  465                                                     v. 17</t>
        </is>
      </c>
      <c r="D568" t="inlineStr">
        <is>
          <t>The 9/11 Commission : proceedings and analysis / [edited by] James R. Holbein.</t>
        </is>
      </c>
      <c r="E568" t="inlineStr">
        <is>
          <t>V. 17 BK. 4</t>
        </is>
      </c>
      <c r="F568" t="inlineStr">
        <is>
          <t>Yes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L568" t="inlineStr">
        <is>
          <t>Dobbs Ferry, N.Y. : Oceana Publications, c2005.</t>
        </is>
      </c>
      <c r="M568" t="inlineStr">
        <is>
          <t>2005</t>
        </is>
      </c>
      <c r="O568" t="inlineStr">
        <is>
          <t>eng</t>
        </is>
      </c>
      <c r="P568" t="inlineStr">
        <is>
          <t>nyu</t>
        </is>
      </c>
      <c r="Q568" t="inlineStr">
        <is>
          <t>Terrorism, Documents of International and Local Control, 1064-9352 ; 2nd ser., v. 17</t>
        </is>
      </c>
      <c r="R568" t="inlineStr">
        <is>
          <t xml:space="preserve">HV </t>
        </is>
      </c>
      <c r="S568" t="n">
        <v>1</v>
      </c>
      <c r="T568" t="n">
        <v>4</v>
      </c>
      <c r="U568" t="inlineStr">
        <is>
          <t>2005-03-07</t>
        </is>
      </c>
      <c r="V568" t="inlineStr">
        <is>
          <t>2005-03-07</t>
        </is>
      </c>
      <c r="W568" t="inlineStr">
        <is>
          <t>2005-03-07</t>
        </is>
      </c>
      <c r="X568" t="inlineStr">
        <is>
          <t>2005-03-07</t>
        </is>
      </c>
      <c r="Y568" t="n">
        <v>292</v>
      </c>
      <c r="Z568" t="n">
        <v>243</v>
      </c>
      <c r="AA568" t="n">
        <v>248</v>
      </c>
      <c r="AB568" t="n">
        <v>3</v>
      </c>
      <c r="AC568" t="n">
        <v>3</v>
      </c>
      <c r="AD568" t="n">
        <v>18</v>
      </c>
      <c r="AE568" t="n">
        <v>18</v>
      </c>
      <c r="AF568" t="n">
        <v>1</v>
      </c>
      <c r="AG568" t="n">
        <v>1</v>
      </c>
      <c r="AH568" t="n">
        <v>1</v>
      </c>
      <c r="AI568" t="n">
        <v>1</v>
      </c>
      <c r="AJ568" t="n">
        <v>6</v>
      </c>
      <c r="AK568" t="n">
        <v>6</v>
      </c>
      <c r="AL568" t="n">
        <v>2</v>
      </c>
      <c r="AM568" t="n">
        <v>2</v>
      </c>
      <c r="AN568" t="n">
        <v>10</v>
      </c>
      <c r="AO568" t="n">
        <v>10</v>
      </c>
      <c r="AP568" t="inlineStr">
        <is>
          <t>No</t>
        </is>
      </c>
      <c r="AQ568" t="inlineStr">
        <is>
          <t>Yes</t>
        </is>
      </c>
      <c r="AR568">
        <f>HYPERLINK("http://catalog.hathitrust.org/Record/005019229","HathiTrust Record")</f>
        <v/>
      </c>
      <c r="AS568">
        <f>HYPERLINK("https://creighton-primo.hosted.exlibrisgroup.com/primo-explore/search?tab=default_tab&amp;search_scope=EVERYTHING&amp;vid=01CRU&amp;lang=en_US&amp;offset=0&amp;query=any,contains,991004478169702656","Catalog Record")</f>
        <v/>
      </c>
      <c r="AT568">
        <f>HYPERLINK("http://www.worldcat.org/oclc/57593107","WorldCat Record")</f>
        <v/>
      </c>
      <c r="AU568" t="inlineStr">
        <is>
          <t>899375:eng</t>
        </is>
      </c>
      <c r="AV568" t="inlineStr">
        <is>
          <t>57593107</t>
        </is>
      </c>
      <c r="AW568" t="inlineStr">
        <is>
          <t>991004478169702656</t>
        </is>
      </c>
      <c r="AX568" t="inlineStr">
        <is>
          <t>991004478169702656</t>
        </is>
      </c>
      <c r="AY568" t="inlineStr">
        <is>
          <t>2271524680002656</t>
        </is>
      </c>
      <c r="AZ568" t="inlineStr">
        <is>
          <t>BOOK</t>
        </is>
      </c>
      <c r="BB568" t="inlineStr">
        <is>
          <t>9780379215274</t>
        </is>
      </c>
      <c r="BC568" t="inlineStr">
        <is>
          <t>32285005027478</t>
        </is>
      </c>
      <c r="BD568" t="inlineStr">
        <is>
          <t>893706467</t>
        </is>
      </c>
    </row>
    <row r="569">
      <c r="A569" t="inlineStr">
        <is>
          <t>No</t>
        </is>
      </c>
      <c r="B569" t="inlineStr">
        <is>
          <t>HV6431 .T465 v. 20</t>
        </is>
      </c>
      <c r="C569" t="inlineStr">
        <is>
          <t>0                      HV 6431000T  465                                                     v. 20</t>
        </is>
      </c>
      <c r="D569" t="inlineStr">
        <is>
          <t>National security and the legal process / Philip D. O'Neill, Jr.</t>
        </is>
      </c>
      <c r="E569" t="inlineStr">
        <is>
          <t>V. 20 SUPP.</t>
        </is>
      </c>
      <c r="F569" t="inlineStr">
        <is>
          <t>Yes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O'Neill, Philip D., Jr., 1951-</t>
        </is>
      </c>
      <c r="L569" t="inlineStr">
        <is>
          <t>New York : Oceana, c2008.</t>
        </is>
      </c>
      <c r="M569" t="inlineStr">
        <is>
          <t>2008</t>
        </is>
      </c>
      <c r="O569" t="inlineStr">
        <is>
          <t>eng</t>
        </is>
      </c>
      <c r="P569" t="inlineStr">
        <is>
          <t>nyu</t>
        </is>
      </c>
      <c r="Q569" t="inlineStr">
        <is>
          <t>Terrorism: documents of international and local control ; 2nd ser., [v. 20]</t>
        </is>
      </c>
      <c r="R569" t="inlineStr">
        <is>
          <t xml:space="preserve">HV </t>
        </is>
      </c>
      <c r="S569" t="n">
        <v>1</v>
      </c>
      <c r="T569" t="n">
        <v>2</v>
      </c>
      <c r="U569" t="inlineStr">
        <is>
          <t>2008-08-19</t>
        </is>
      </c>
      <c r="V569" t="inlineStr">
        <is>
          <t>2008-08-19</t>
        </is>
      </c>
      <c r="W569" t="inlineStr">
        <is>
          <t>2008-08-18</t>
        </is>
      </c>
      <c r="X569" t="inlineStr">
        <is>
          <t>2008-08-18</t>
        </is>
      </c>
      <c r="Y569" t="n">
        <v>243</v>
      </c>
      <c r="Z569" t="n">
        <v>216</v>
      </c>
      <c r="AA569" t="n">
        <v>218</v>
      </c>
      <c r="AB569" t="n">
        <v>2</v>
      </c>
      <c r="AC569" t="n">
        <v>2</v>
      </c>
      <c r="AD569" t="n">
        <v>21</v>
      </c>
      <c r="AE569" t="n">
        <v>21</v>
      </c>
      <c r="AF569" t="n">
        <v>1</v>
      </c>
      <c r="AG569" t="n">
        <v>1</v>
      </c>
      <c r="AH569" t="n">
        <v>1</v>
      </c>
      <c r="AI569" t="n">
        <v>1</v>
      </c>
      <c r="AJ569" t="n">
        <v>1</v>
      </c>
      <c r="AK569" t="n">
        <v>1</v>
      </c>
      <c r="AL569" t="n">
        <v>1</v>
      </c>
      <c r="AM569" t="n">
        <v>1</v>
      </c>
      <c r="AN569" t="n">
        <v>18</v>
      </c>
      <c r="AO569" t="n">
        <v>18</v>
      </c>
      <c r="AP569" t="inlineStr">
        <is>
          <t>No</t>
        </is>
      </c>
      <c r="AQ569" t="inlineStr">
        <is>
          <t>Yes</t>
        </is>
      </c>
      <c r="AR569">
        <f>HYPERLINK("http://catalog.hathitrust.org/Record/005671372","HathiTrust Record")</f>
        <v/>
      </c>
      <c r="AS569">
        <f>HYPERLINK("https://creighton-primo.hosted.exlibrisgroup.com/primo-explore/search?tab=default_tab&amp;search_scope=EVERYTHING&amp;vid=01CRU&amp;lang=en_US&amp;offset=0&amp;query=any,contains,991005205279702656","Catalog Record")</f>
        <v/>
      </c>
      <c r="AT569">
        <f>HYPERLINK("http://www.worldcat.org/oclc/192045714","WorldCat Record")</f>
        <v/>
      </c>
      <c r="AU569" t="inlineStr">
        <is>
          <t>9845931660:eng</t>
        </is>
      </c>
      <c r="AV569" t="inlineStr">
        <is>
          <t>192045714</t>
        </is>
      </c>
      <c r="AW569" t="inlineStr">
        <is>
          <t>991005205279702656</t>
        </is>
      </c>
      <c r="AX569" t="inlineStr">
        <is>
          <t>991005205279702656</t>
        </is>
      </c>
      <c r="AY569" t="inlineStr">
        <is>
          <t>2265355600002656</t>
        </is>
      </c>
      <c r="AZ569" t="inlineStr">
        <is>
          <t>BOOK</t>
        </is>
      </c>
      <c r="BB569" t="inlineStr">
        <is>
          <t>9780195372861</t>
        </is>
      </c>
      <c r="BC569" t="inlineStr">
        <is>
          <t>32285005402697</t>
        </is>
      </c>
      <c r="BD569" t="inlineStr">
        <is>
          <t>893254643</t>
        </is>
      </c>
    </row>
    <row r="570">
      <c r="A570" t="inlineStr">
        <is>
          <t>No</t>
        </is>
      </c>
      <c r="B570" t="inlineStr">
        <is>
          <t>HV6431 .T465 v. 20</t>
        </is>
      </c>
      <c r="C570" t="inlineStr">
        <is>
          <t>0                      HV 6431000T  465                                                     v. 20</t>
        </is>
      </c>
      <c r="D570" t="inlineStr">
        <is>
          <t>National security and the legal process / Philip D. O'Neill, Jr.</t>
        </is>
      </c>
      <c r="E570" t="inlineStr">
        <is>
          <t>V. 20</t>
        </is>
      </c>
      <c r="F570" t="inlineStr">
        <is>
          <t>Yes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O'Neill, Philip D., Jr., 1951-</t>
        </is>
      </c>
      <c r="L570" t="inlineStr">
        <is>
          <t>New York : Oceana, c2008.</t>
        </is>
      </c>
      <c r="M570" t="inlineStr">
        <is>
          <t>2008</t>
        </is>
      </c>
      <c r="O570" t="inlineStr">
        <is>
          <t>eng</t>
        </is>
      </c>
      <c r="P570" t="inlineStr">
        <is>
          <t>nyu</t>
        </is>
      </c>
      <c r="Q570" t="inlineStr">
        <is>
          <t>Terrorism: documents of international and local control ; 2nd ser., [v. 20]</t>
        </is>
      </c>
      <c r="R570" t="inlineStr">
        <is>
          <t xml:space="preserve">HV </t>
        </is>
      </c>
      <c r="S570" t="n">
        <v>1</v>
      </c>
      <c r="T570" t="n">
        <v>2</v>
      </c>
      <c r="U570" t="inlineStr">
        <is>
          <t>2008-08-19</t>
        </is>
      </c>
      <c r="V570" t="inlineStr">
        <is>
          <t>2008-08-19</t>
        </is>
      </c>
      <c r="W570" t="inlineStr">
        <is>
          <t>2008-08-18</t>
        </is>
      </c>
      <c r="X570" t="inlineStr">
        <is>
          <t>2008-08-18</t>
        </is>
      </c>
      <c r="Y570" t="n">
        <v>243</v>
      </c>
      <c r="Z570" t="n">
        <v>216</v>
      </c>
      <c r="AA570" t="n">
        <v>218</v>
      </c>
      <c r="AB570" t="n">
        <v>2</v>
      </c>
      <c r="AC570" t="n">
        <v>2</v>
      </c>
      <c r="AD570" t="n">
        <v>21</v>
      </c>
      <c r="AE570" t="n">
        <v>21</v>
      </c>
      <c r="AF570" t="n">
        <v>1</v>
      </c>
      <c r="AG570" t="n">
        <v>1</v>
      </c>
      <c r="AH570" t="n">
        <v>1</v>
      </c>
      <c r="AI570" t="n">
        <v>1</v>
      </c>
      <c r="AJ570" t="n">
        <v>1</v>
      </c>
      <c r="AK570" t="n">
        <v>1</v>
      </c>
      <c r="AL570" t="n">
        <v>1</v>
      </c>
      <c r="AM570" t="n">
        <v>1</v>
      </c>
      <c r="AN570" t="n">
        <v>18</v>
      </c>
      <c r="AO570" t="n">
        <v>18</v>
      </c>
      <c r="AP570" t="inlineStr">
        <is>
          <t>No</t>
        </is>
      </c>
      <c r="AQ570" t="inlineStr">
        <is>
          <t>Yes</t>
        </is>
      </c>
      <c r="AR570">
        <f>HYPERLINK("http://catalog.hathitrust.org/Record/005671372","HathiTrust Record")</f>
        <v/>
      </c>
      <c r="AS570">
        <f>HYPERLINK("https://creighton-primo.hosted.exlibrisgroup.com/primo-explore/search?tab=default_tab&amp;search_scope=EVERYTHING&amp;vid=01CRU&amp;lang=en_US&amp;offset=0&amp;query=any,contains,991005205279702656","Catalog Record")</f>
        <v/>
      </c>
      <c r="AT570">
        <f>HYPERLINK("http://www.worldcat.org/oclc/192045714","WorldCat Record")</f>
        <v/>
      </c>
      <c r="AU570" t="inlineStr">
        <is>
          <t>9845931660:eng</t>
        </is>
      </c>
      <c r="AV570" t="inlineStr">
        <is>
          <t>192045714</t>
        </is>
      </c>
      <c r="AW570" t="inlineStr">
        <is>
          <t>991005205279702656</t>
        </is>
      </c>
      <c r="AX570" t="inlineStr">
        <is>
          <t>991005205279702656</t>
        </is>
      </c>
      <c r="AY570" t="inlineStr">
        <is>
          <t>2265355600002656</t>
        </is>
      </c>
      <c r="AZ570" t="inlineStr">
        <is>
          <t>BOOK</t>
        </is>
      </c>
      <c r="BB570" t="inlineStr">
        <is>
          <t>9780195372861</t>
        </is>
      </c>
      <c r="BC570" t="inlineStr">
        <is>
          <t>32285005402689</t>
        </is>
      </c>
      <c r="BD570" t="inlineStr">
        <is>
          <t>893248541</t>
        </is>
      </c>
    </row>
    <row r="571">
      <c r="A571" t="inlineStr">
        <is>
          <t>No</t>
        </is>
      </c>
      <c r="B571" t="inlineStr">
        <is>
          <t>HV6431 .T465 v. 9-12</t>
        </is>
      </c>
      <c r="C571" t="inlineStr">
        <is>
          <t>0                      HV 6431000T  465                                                     v. 9-12</t>
        </is>
      </c>
      <c r="D571" t="inlineStr">
        <is>
          <t>Legal aspects of terrorism in the United States / Yonah Alexander and Edgar H. Brenner.</t>
        </is>
      </c>
      <c r="E571" t="inlineStr">
        <is>
          <t>V. 12</t>
        </is>
      </c>
      <c r="F571" t="inlineStr">
        <is>
          <t>Yes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Alexander, Yonah.</t>
        </is>
      </c>
      <c r="L571" t="inlineStr">
        <is>
          <t>Dobbs Ferry, N.Y. : Oceana Pub., Inc., c2000.</t>
        </is>
      </c>
      <c r="M571" t="inlineStr">
        <is>
          <t>2000</t>
        </is>
      </c>
      <c r="O571" t="inlineStr">
        <is>
          <t>eng</t>
        </is>
      </c>
      <c r="P571" t="inlineStr">
        <is>
          <t>nyu</t>
        </is>
      </c>
      <c r="Q571" t="inlineStr">
        <is>
          <t>Terrorism : documents of international and local control, 1064-9352 ; 2nd ser., v. 9-12</t>
        </is>
      </c>
      <c r="R571" t="inlineStr">
        <is>
          <t xml:space="preserve">HV </t>
        </is>
      </c>
      <c r="S571" t="n">
        <v>1</v>
      </c>
      <c r="T571" t="n">
        <v>4</v>
      </c>
      <c r="U571" t="inlineStr">
        <is>
          <t>2001-01-11</t>
        </is>
      </c>
      <c r="V571" t="inlineStr">
        <is>
          <t>2001-01-11</t>
        </is>
      </c>
      <c r="W571" t="inlineStr">
        <is>
          <t>2001-01-11</t>
        </is>
      </c>
      <c r="X571" t="inlineStr">
        <is>
          <t>2001-01-11</t>
        </is>
      </c>
      <c r="Y571" t="n">
        <v>217</v>
      </c>
      <c r="Z571" t="n">
        <v>186</v>
      </c>
      <c r="AA571" t="n">
        <v>188</v>
      </c>
      <c r="AB571" t="n">
        <v>2</v>
      </c>
      <c r="AC571" t="n">
        <v>2</v>
      </c>
      <c r="AD571" t="n">
        <v>11</v>
      </c>
      <c r="AE571" t="n">
        <v>11</v>
      </c>
      <c r="AF571" t="n">
        <v>0</v>
      </c>
      <c r="AG571" t="n">
        <v>0</v>
      </c>
      <c r="AH571" t="n">
        <v>1</v>
      </c>
      <c r="AI571" t="n">
        <v>1</v>
      </c>
      <c r="AJ571" t="n">
        <v>1</v>
      </c>
      <c r="AK571" t="n">
        <v>1</v>
      </c>
      <c r="AL571" t="n">
        <v>1</v>
      </c>
      <c r="AM571" t="n">
        <v>1</v>
      </c>
      <c r="AN571" t="n">
        <v>9</v>
      </c>
      <c r="AO571" t="n">
        <v>9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HYPERLINK("http://catalog.hathitrust.org/Record/003555804","HathiTrust Record")</f>
        <v/>
      </c>
      <c r="AS571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1">
        <f>HYPERLINK("http://www.worldcat.org/oclc/45430181","WorldCat Record")</f>
        <v/>
      </c>
      <c r="AU571" t="inlineStr">
        <is>
          <t>4575229732:eng</t>
        </is>
      </c>
      <c r="AV571" t="inlineStr">
        <is>
          <t>45430181</t>
        </is>
      </c>
      <c r="AW571" t="inlineStr">
        <is>
          <t>991003358039702656</t>
        </is>
      </c>
      <c r="AX571" t="inlineStr">
        <is>
          <t>991003358039702656</t>
        </is>
      </c>
      <c r="AY571" t="inlineStr">
        <is>
          <t>2255533110002656</t>
        </is>
      </c>
      <c r="AZ571" t="inlineStr">
        <is>
          <t>BOOK</t>
        </is>
      </c>
      <c r="BB571" t="inlineStr">
        <is>
          <t>9780379214284</t>
        </is>
      </c>
      <c r="BC571" t="inlineStr">
        <is>
          <t>32285004282785</t>
        </is>
      </c>
      <c r="BD571" t="inlineStr">
        <is>
          <t>893887407</t>
        </is>
      </c>
    </row>
    <row r="572">
      <c r="A572" t="inlineStr">
        <is>
          <t>No</t>
        </is>
      </c>
      <c r="B572" t="inlineStr">
        <is>
          <t>HV6431 .T465 v. 9-12</t>
        </is>
      </c>
      <c r="C572" t="inlineStr">
        <is>
          <t>0                      HV 6431000T  465                                                     v. 9-12</t>
        </is>
      </c>
      <c r="D572" t="inlineStr">
        <is>
          <t>Legal aspects of terrorism in the United States / Yonah Alexander and Edgar H. Brenner.</t>
        </is>
      </c>
      <c r="E572" t="inlineStr">
        <is>
          <t>V. 11</t>
        </is>
      </c>
      <c r="F572" t="inlineStr">
        <is>
          <t>Yes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Alexander, Yonah.</t>
        </is>
      </c>
      <c r="L572" t="inlineStr">
        <is>
          <t>Dobbs Ferry, N.Y. : Oceana Pub., Inc., c2000.</t>
        </is>
      </c>
      <c r="M572" t="inlineStr">
        <is>
          <t>2000</t>
        </is>
      </c>
      <c r="O572" t="inlineStr">
        <is>
          <t>eng</t>
        </is>
      </c>
      <c r="P572" t="inlineStr">
        <is>
          <t>nyu</t>
        </is>
      </c>
      <c r="Q572" t="inlineStr">
        <is>
          <t>Terrorism : documents of international and local control, 1064-9352 ; 2nd ser., v. 9-12</t>
        </is>
      </c>
      <c r="R572" t="inlineStr">
        <is>
          <t xml:space="preserve">HV </t>
        </is>
      </c>
      <c r="S572" t="n">
        <v>1</v>
      </c>
      <c r="T572" t="n">
        <v>4</v>
      </c>
      <c r="U572" t="inlineStr">
        <is>
          <t>2001-01-11</t>
        </is>
      </c>
      <c r="V572" t="inlineStr">
        <is>
          <t>2001-01-11</t>
        </is>
      </c>
      <c r="W572" t="inlineStr">
        <is>
          <t>2001-01-11</t>
        </is>
      </c>
      <c r="X572" t="inlineStr">
        <is>
          <t>2001-01-11</t>
        </is>
      </c>
      <c r="Y572" t="n">
        <v>217</v>
      </c>
      <c r="Z572" t="n">
        <v>186</v>
      </c>
      <c r="AA572" t="n">
        <v>188</v>
      </c>
      <c r="AB572" t="n">
        <v>2</v>
      </c>
      <c r="AC572" t="n">
        <v>2</v>
      </c>
      <c r="AD572" t="n">
        <v>11</v>
      </c>
      <c r="AE572" t="n">
        <v>11</v>
      </c>
      <c r="AF572" t="n">
        <v>0</v>
      </c>
      <c r="AG572" t="n">
        <v>0</v>
      </c>
      <c r="AH572" t="n">
        <v>1</v>
      </c>
      <c r="AI572" t="n">
        <v>1</v>
      </c>
      <c r="AJ572" t="n">
        <v>1</v>
      </c>
      <c r="AK572" t="n">
        <v>1</v>
      </c>
      <c r="AL572" t="n">
        <v>1</v>
      </c>
      <c r="AM572" t="n">
        <v>1</v>
      </c>
      <c r="AN572" t="n">
        <v>9</v>
      </c>
      <c r="AO572" t="n">
        <v>9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HYPERLINK("http://catalog.hathitrust.org/Record/003555804","HathiTrust Record")</f>
        <v/>
      </c>
      <c r="AS572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2">
        <f>HYPERLINK("http://www.worldcat.org/oclc/45430181","WorldCat Record")</f>
        <v/>
      </c>
      <c r="AU572" t="inlineStr">
        <is>
          <t>4575229732:eng</t>
        </is>
      </c>
      <c r="AV572" t="inlineStr">
        <is>
          <t>45430181</t>
        </is>
      </c>
      <c r="AW572" t="inlineStr">
        <is>
          <t>991003358039702656</t>
        </is>
      </c>
      <c r="AX572" t="inlineStr">
        <is>
          <t>991003358039702656</t>
        </is>
      </c>
      <c r="AY572" t="inlineStr">
        <is>
          <t>2255533110002656</t>
        </is>
      </c>
      <c r="AZ572" t="inlineStr">
        <is>
          <t>BOOK</t>
        </is>
      </c>
      <c r="BB572" t="inlineStr">
        <is>
          <t>9780379214284</t>
        </is>
      </c>
      <c r="BC572" t="inlineStr">
        <is>
          <t>32285004282777</t>
        </is>
      </c>
      <c r="BD572" t="inlineStr">
        <is>
          <t>893899916</t>
        </is>
      </c>
    </row>
    <row r="573">
      <c r="A573" t="inlineStr">
        <is>
          <t>No</t>
        </is>
      </c>
      <c r="B573" t="inlineStr">
        <is>
          <t>HV6431 .T465 v. 9-12</t>
        </is>
      </c>
      <c r="C573" t="inlineStr">
        <is>
          <t>0                      HV 6431000T  465                                                     v. 9-12</t>
        </is>
      </c>
      <c r="D573" t="inlineStr">
        <is>
          <t>Legal aspects of terrorism in the United States / Yonah Alexander and Edgar H. Brenner.</t>
        </is>
      </c>
      <c r="E573" t="inlineStr">
        <is>
          <t>V. 10</t>
        </is>
      </c>
      <c r="F573" t="inlineStr">
        <is>
          <t>Yes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K573" t="inlineStr">
        <is>
          <t>Alexander, Yonah.</t>
        </is>
      </c>
      <c r="L573" t="inlineStr">
        <is>
          <t>Dobbs Ferry, N.Y. : Oceana Pub., Inc., c2000.</t>
        </is>
      </c>
      <c r="M573" t="inlineStr">
        <is>
          <t>2000</t>
        </is>
      </c>
      <c r="O573" t="inlineStr">
        <is>
          <t>eng</t>
        </is>
      </c>
      <c r="P573" t="inlineStr">
        <is>
          <t>nyu</t>
        </is>
      </c>
      <c r="Q573" t="inlineStr">
        <is>
          <t>Terrorism : documents of international and local control, 1064-9352 ; 2nd ser., v. 9-12</t>
        </is>
      </c>
      <c r="R573" t="inlineStr">
        <is>
          <t xml:space="preserve">HV </t>
        </is>
      </c>
      <c r="S573" t="n">
        <v>1</v>
      </c>
      <c r="T573" t="n">
        <v>4</v>
      </c>
      <c r="U573" t="inlineStr">
        <is>
          <t>2001-01-11</t>
        </is>
      </c>
      <c r="V573" t="inlineStr">
        <is>
          <t>2001-01-11</t>
        </is>
      </c>
      <c r="W573" t="inlineStr">
        <is>
          <t>2001-01-11</t>
        </is>
      </c>
      <c r="X573" t="inlineStr">
        <is>
          <t>2001-01-11</t>
        </is>
      </c>
      <c r="Y573" t="n">
        <v>217</v>
      </c>
      <c r="Z573" t="n">
        <v>186</v>
      </c>
      <c r="AA573" t="n">
        <v>188</v>
      </c>
      <c r="AB573" t="n">
        <v>2</v>
      </c>
      <c r="AC573" t="n">
        <v>2</v>
      </c>
      <c r="AD573" t="n">
        <v>11</v>
      </c>
      <c r="AE573" t="n">
        <v>11</v>
      </c>
      <c r="AF573" t="n">
        <v>0</v>
      </c>
      <c r="AG573" t="n">
        <v>0</v>
      </c>
      <c r="AH573" t="n">
        <v>1</v>
      </c>
      <c r="AI573" t="n">
        <v>1</v>
      </c>
      <c r="AJ573" t="n">
        <v>1</v>
      </c>
      <c r="AK573" t="n">
        <v>1</v>
      </c>
      <c r="AL573" t="n">
        <v>1</v>
      </c>
      <c r="AM573" t="n">
        <v>1</v>
      </c>
      <c r="AN573" t="n">
        <v>9</v>
      </c>
      <c r="AO573" t="n">
        <v>9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HYPERLINK("http://catalog.hathitrust.org/Record/003555804","HathiTrust Record")</f>
        <v/>
      </c>
      <c r="AS573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3">
        <f>HYPERLINK("http://www.worldcat.org/oclc/45430181","WorldCat Record")</f>
        <v/>
      </c>
      <c r="AU573" t="inlineStr">
        <is>
          <t>4575229732:eng</t>
        </is>
      </c>
      <c r="AV573" t="inlineStr">
        <is>
          <t>45430181</t>
        </is>
      </c>
      <c r="AW573" t="inlineStr">
        <is>
          <t>991003358039702656</t>
        </is>
      </c>
      <c r="AX573" t="inlineStr">
        <is>
          <t>991003358039702656</t>
        </is>
      </c>
      <c r="AY573" t="inlineStr">
        <is>
          <t>2255533110002656</t>
        </is>
      </c>
      <c r="AZ573" t="inlineStr">
        <is>
          <t>BOOK</t>
        </is>
      </c>
      <c r="BB573" t="inlineStr">
        <is>
          <t>9780379214284</t>
        </is>
      </c>
      <c r="BC573" t="inlineStr">
        <is>
          <t>32285004282769</t>
        </is>
      </c>
      <c r="BD573" t="inlineStr">
        <is>
          <t>893899917</t>
        </is>
      </c>
    </row>
    <row r="574">
      <c r="A574" t="inlineStr">
        <is>
          <t>No</t>
        </is>
      </c>
      <c r="B574" t="inlineStr">
        <is>
          <t>HV6431 .T465 v. 9-12</t>
        </is>
      </c>
      <c r="C574" t="inlineStr">
        <is>
          <t>0                      HV 6431000T  465                                                     v. 9-12</t>
        </is>
      </c>
      <c r="D574" t="inlineStr">
        <is>
          <t>Legal aspects of terrorism in the United States / Yonah Alexander and Edgar H. Brenner.</t>
        </is>
      </c>
      <c r="E574" t="inlineStr">
        <is>
          <t>V. 9</t>
        </is>
      </c>
      <c r="F574" t="inlineStr">
        <is>
          <t>Yes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K574" t="inlineStr">
        <is>
          <t>Alexander, Yonah.</t>
        </is>
      </c>
      <c r="L574" t="inlineStr">
        <is>
          <t>Dobbs Ferry, N.Y. : Oceana Pub., Inc., c2000.</t>
        </is>
      </c>
      <c r="M574" t="inlineStr">
        <is>
          <t>2000</t>
        </is>
      </c>
      <c r="O574" t="inlineStr">
        <is>
          <t>eng</t>
        </is>
      </c>
      <c r="P574" t="inlineStr">
        <is>
          <t>nyu</t>
        </is>
      </c>
      <c r="Q574" t="inlineStr">
        <is>
          <t>Terrorism : documents of international and local control, 1064-9352 ; 2nd ser., v. 9-12</t>
        </is>
      </c>
      <c r="R574" t="inlineStr">
        <is>
          <t xml:space="preserve">HV </t>
        </is>
      </c>
      <c r="S574" t="n">
        <v>1</v>
      </c>
      <c r="T574" t="n">
        <v>4</v>
      </c>
      <c r="U574" t="inlineStr">
        <is>
          <t>2001-01-11</t>
        </is>
      </c>
      <c r="V574" t="inlineStr">
        <is>
          <t>2001-01-11</t>
        </is>
      </c>
      <c r="W574" t="inlineStr">
        <is>
          <t>2001-01-11</t>
        </is>
      </c>
      <c r="X574" t="inlineStr">
        <is>
          <t>2001-01-11</t>
        </is>
      </c>
      <c r="Y574" t="n">
        <v>217</v>
      </c>
      <c r="Z574" t="n">
        <v>186</v>
      </c>
      <c r="AA574" t="n">
        <v>188</v>
      </c>
      <c r="AB574" t="n">
        <v>2</v>
      </c>
      <c r="AC574" t="n">
        <v>2</v>
      </c>
      <c r="AD574" t="n">
        <v>11</v>
      </c>
      <c r="AE574" t="n">
        <v>11</v>
      </c>
      <c r="AF574" t="n">
        <v>0</v>
      </c>
      <c r="AG574" t="n">
        <v>0</v>
      </c>
      <c r="AH574" t="n">
        <v>1</v>
      </c>
      <c r="AI574" t="n">
        <v>1</v>
      </c>
      <c r="AJ574" t="n">
        <v>1</v>
      </c>
      <c r="AK574" t="n">
        <v>1</v>
      </c>
      <c r="AL574" t="n">
        <v>1</v>
      </c>
      <c r="AM574" t="n">
        <v>1</v>
      </c>
      <c r="AN574" t="n">
        <v>9</v>
      </c>
      <c r="AO574" t="n">
        <v>9</v>
      </c>
      <c r="AP574" t="inlineStr">
        <is>
          <t>No</t>
        </is>
      </c>
      <c r="AQ574" t="inlineStr">
        <is>
          <t>Yes</t>
        </is>
      </c>
      <c r="AR574">
        <f>HYPERLINK("http://catalog.hathitrust.org/Record/003555804","HathiTrust Record")</f>
        <v/>
      </c>
      <c r="AS574">
        <f>HYPERLINK("https://creighton-primo.hosted.exlibrisgroup.com/primo-explore/search?tab=default_tab&amp;search_scope=EVERYTHING&amp;vid=01CRU&amp;lang=en_US&amp;offset=0&amp;query=any,contains,991003358039702656","Catalog Record")</f>
        <v/>
      </c>
      <c r="AT574">
        <f>HYPERLINK("http://www.worldcat.org/oclc/45430181","WorldCat Record")</f>
        <v/>
      </c>
      <c r="AU574" t="inlineStr">
        <is>
          <t>4575229732:eng</t>
        </is>
      </c>
      <c r="AV574" t="inlineStr">
        <is>
          <t>45430181</t>
        </is>
      </c>
      <c r="AW574" t="inlineStr">
        <is>
          <t>991003358039702656</t>
        </is>
      </c>
      <c r="AX574" t="inlineStr">
        <is>
          <t>991003358039702656</t>
        </is>
      </c>
      <c r="AY574" t="inlineStr">
        <is>
          <t>2255533110002656</t>
        </is>
      </c>
      <c r="AZ574" t="inlineStr">
        <is>
          <t>BOOK</t>
        </is>
      </c>
      <c r="BB574" t="inlineStr">
        <is>
          <t>9780379214284</t>
        </is>
      </c>
      <c r="BC574" t="inlineStr">
        <is>
          <t>32285004282751</t>
        </is>
      </c>
      <c r="BD574" t="inlineStr">
        <is>
          <t>893881098</t>
        </is>
      </c>
    </row>
    <row r="575">
      <c r="A575" t="inlineStr">
        <is>
          <t>No</t>
        </is>
      </c>
      <c r="B575" t="inlineStr">
        <is>
          <t>HV6431 .T465 v.2</t>
        </is>
      </c>
      <c r="C575" t="inlineStr">
        <is>
          <t>0                      HV 6431000T  465                                                     v.2</t>
        </is>
      </c>
      <c r="D575" t="inlineStr">
        <is>
          <t>Terrorism &amp; political violence : limits &amp; possibilities of legal control / [edited by] Henry H. Han.</t>
        </is>
      </c>
      <c r="E575" t="inlineStr">
        <is>
          <t>V. 2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New York : Oceana Publications, c1993.</t>
        </is>
      </c>
      <c r="M575" t="inlineStr">
        <is>
          <t>1992</t>
        </is>
      </c>
      <c r="O575" t="inlineStr">
        <is>
          <t>eng</t>
        </is>
      </c>
      <c r="P575" t="inlineStr">
        <is>
          <t>nyu</t>
        </is>
      </c>
      <c r="Q575" t="inlineStr">
        <is>
          <t>Terrorism : documents of international &amp; local control ; 2nd ser., 2nd v.</t>
        </is>
      </c>
      <c r="R575" t="inlineStr">
        <is>
          <t xml:space="preserve">HV </t>
        </is>
      </c>
      <c r="S575" t="n">
        <v>7</v>
      </c>
      <c r="T575" t="n">
        <v>7</v>
      </c>
      <c r="U575" t="inlineStr">
        <is>
          <t>2003-02-16</t>
        </is>
      </c>
      <c r="V575" t="inlineStr">
        <is>
          <t>2003-02-16</t>
        </is>
      </c>
      <c r="W575" t="inlineStr">
        <is>
          <t>1993-11-05</t>
        </is>
      </c>
      <c r="X575" t="inlineStr">
        <is>
          <t>1993-11-05</t>
        </is>
      </c>
      <c r="Y575" t="n">
        <v>296</v>
      </c>
      <c r="Z575" t="n">
        <v>253</v>
      </c>
      <c r="AA575" t="n">
        <v>272</v>
      </c>
      <c r="AB575" t="n">
        <v>2</v>
      </c>
      <c r="AC575" t="n">
        <v>2</v>
      </c>
      <c r="AD575" t="n">
        <v>19</v>
      </c>
      <c r="AE575" t="n">
        <v>21</v>
      </c>
      <c r="AF575" t="n">
        <v>3</v>
      </c>
      <c r="AG575" t="n">
        <v>3</v>
      </c>
      <c r="AH575" t="n">
        <v>1</v>
      </c>
      <c r="AI575" t="n">
        <v>2</v>
      </c>
      <c r="AJ575" t="n">
        <v>3</v>
      </c>
      <c r="AK575" t="n">
        <v>4</v>
      </c>
      <c r="AL575" t="n">
        <v>1</v>
      </c>
      <c r="AM575" t="n">
        <v>1</v>
      </c>
      <c r="AN575" t="n">
        <v>13</v>
      </c>
      <c r="AO575" t="n">
        <v>14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HYPERLINK("https://creighton-primo.hosted.exlibrisgroup.com/primo-explore/search?tab=default_tab&amp;search_scope=EVERYTHING&amp;vid=01CRU&amp;lang=en_US&amp;offset=0&amp;query=any,contains,991002013749702656","Catalog Record")</f>
        <v/>
      </c>
      <c r="AT575">
        <f>HYPERLINK("http://www.worldcat.org/oclc/25629666","WorldCat Record")</f>
        <v/>
      </c>
      <c r="AU575" t="inlineStr">
        <is>
          <t>55575490:eng</t>
        </is>
      </c>
      <c r="AV575" t="inlineStr">
        <is>
          <t>25629666</t>
        </is>
      </c>
      <c r="AW575" t="inlineStr">
        <is>
          <t>991002013749702656</t>
        </is>
      </c>
      <c r="AX575" t="inlineStr">
        <is>
          <t>991002013749702656</t>
        </is>
      </c>
      <c r="AY575" t="inlineStr">
        <is>
          <t>2259845610002656</t>
        </is>
      </c>
      <c r="AZ575" t="inlineStr">
        <is>
          <t>BOOK</t>
        </is>
      </c>
      <c r="BB575" t="inlineStr">
        <is>
          <t>9780379009064</t>
        </is>
      </c>
      <c r="BC575" t="inlineStr">
        <is>
          <t>32285001802197</t>
        </is>
      </c>
      <c r="BD575" t="inlineStr">
        <is>
          <t>893615587</t>
        </is>
      </c>
    </row>
    <row r="576">
      <c r="A576" t="inlineStr">
        <is>
          <t>No</t>
        </is>
      </c>
      <c r="B576" t="inlineStr">
        <is>
          <t>HV6431 .T465 v.3</t>
        </is>
      </c>
      <c r="C576" t="inlineStr">
        <is>
          <t>0                      HV 6431000T  465                                                     v.3</t>
        </is>
      </c>
      <c r="D576" t="inlineStr">
        <is>
          <t>Terrorism in war, the law of war crimes / Howard S. Levie.</t>
        </is>
      </c>
      <c r="E576" t="inlineStr">
        <is>
          <t>V. 3</t>
        </is>
      </c>
      <c r="F576" t="inlineStr">
        <is>
          <t>No</t>
        </is>
      </c>
      <c r="G576" t="inlineStr">
        <is>
          <t>1</t>
        </is>
      </c>
      <c r="H576" t="inlineStr">
        <is>
          <t>Yes</t>
        </is>
      </c>
      <c r="I576" t="inlineStr">
        <is>
          <t>No</t>
        </is>
      </c>
      <c r="J576" t="inlineStr">
        <is>
          <t>0</t>
        </is>
      </c>
      <c r="K576" t="inlineStr">
        <is>
          <t>Levie, Howard S. (Howard Sidney), 1907-2009.</t>
        </is>
      </c>
      <c r="L576" t="inlineStr">
        <is>
          <t>Dobbs Ferry, NY : Oceana Publications, 1993.</t>
        </is>
      </c>
      <c r="M576" t="inlineStr">
        <is>
          <t>1993</t>
        </is>
      </c>
      <c r="O576" t="inlineStr">
        <is>
          <t>eng</t>
        </is>
      </c>
      <c r="P576" t="inlineStr">
        <is>
          <t>nyu</t>
        </is>
      </c>
      <c r="Q576" t="inlineStr">
        <is>
          <t>Terrorism : documents of international &amp; local control ; 2nd ser., 3rd v.</t>
        </is>
      </c>
      <c r="R576" t="inlineStr">
        <is>
          <t xml:space="preserve">HV </t>
        </is>
      </c>
      <c r="S576" t="n">
        <v>2</v>
      </c>
      <c r="T576" t="n">
        <v>4</v>
      </c>
      <c r="U576" t="inlineStr">
        <is>
          <t>1998-01-24</t>
        </is>
      </c>
      <c r="V576" t="inlineStr">
        <is>
          <t>1998-04-28</t>
        </is>
      </c>
      <c r="W576" t="inlineStr">
        <is>
          <t>1993-11-05</t>
        </is>
      </c>
      <c r="X576" t="inlineStr">
        <is>
          <t>1993-11-17</t>
        </is>
      </c>
      <c r="Y576" t="n">
        <v>328</v>
      </c>
      <c r="Z576" t="n">
        <v>242</v>
      </c>
      <c r="AA576" t="n">
        <v>244</v>
      </c>
      <c r="AB576" t="n">
        <v>5</v>
      </c>
      <c r="AC576" t="n">
        <v>5</v>
      </c>
      <c r="AD576" t="n">
        <v>22</v>
      </c>
      <c r="AE576" t="n">
        <v>22</v>
      </c>
      <c r="AF576" t="n">
        <v>2</v>
      </c>
      <c r="AG576" t="n">
        <v>2</v>
      </c>
      <c r="AH576" t="n">
        <v>1</v>
      </c>
      <c r="AI576" t="n">
        <v>1</v>
      </c>
      <c r="AJ576" t="n">
        <v>2</v>
      </c>
      <c r="AK576" t="n">
        <v>2</v>
      </c>
      <c r="AL576" t="n">
        <v>2</v>
      </c>
      <c r="AM576" t="n">
        <v>2</v>
      </c>
      <c r="AN576" t="n">
        <v>16</v>
      </c>
      <c r="AO576" t="n">
        <v>16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HYPERLINK("http://catalog.hathitrust.org/Record/002730452","HathiTrust Record")</f>
        <v/>
      </c>
      <c r="AS576">
        <f>HYPERLINK("https://creighton-primo.hosted.exlibrisgroup.com/primo-explore/search?tab=default_tab&amp;search_scope=EVERYTHING&amp;vid=01CRU&amp;lang=en_US&amp;offset=0&amp;query=any,contains,991001688989702656","Catalog Record")</f>
        <v/>
      </c>
      <c r="AT576">
        <f>HYPERLINK("http://www.worldcat.org/oclc/28214135","WorldCat Record")</f>
        <v/>
      </c>
      <c r="AU576" t="inlineStr">
        <is>
          <t>889885986:eng</t>
        </is>
      </c>
      <c r="AV576" t="inlineStr">
        <is>
          <t>28214135</t>
        </is>
      </c>
      <c r="AW576" t="inlineStr">
        <is>
          <t>991001688989702656</t>
        </is>
      </c>
      <c r="AX576" t="inlineStr">
        <is>
          <t>991001688989702656</t>
        </is>
      </c>
      <c r="AY576" t="inlineStr">
        <is>
          <t>2265995580002656</t>
        </is>
      </c>
      <c r="AZ576" t="inlineStr">
        <is>
          <t>BOOK</t>
        </is>
      </c>
      <c r="BB576" t="inlineStr">
        <is>
          <t>9780379201482</t>
        </is>
      </c>
      <c r="BC576" t="inlineStr">
        <is>
          <t>32285001802205</t>
        </is>
      </c>
      <c r="BD576" t="inlineStr">
        <is>
          <t>893426763</t>
        </is>
      </c>
    </row>
    <row r="577">
      <c r="A577" t="inlineStr">
        <is>
          <t>No</t>
        </is>
      </c>
      <c r="B577" t="inlineStr">
        <is>
          <t>HV6431 .T465 v.5-8</t>
        </is>
      </c>
      <c r="C577" t="inlineStr">
        <is>
          <t>0                      HV 6431000T  465                                                     v.5-8</t>
        </is>
      </c>
      <c r="D577" t="inlineStr">
        <is>
          <t>Cyber terrorism and information warfare / Yonah Alexander and Michael S. Swetnam ; Yonah Alexander, Donald J. Musch, general editors.</t>
        </is>
      </c>
      <c r="E577" t="inlineStr">
        <is>
          <t>V. 6</t>
        </is>
      </c>
      <c r="F577" t="inlineStr">
        <is>
          <t>Yes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Alexander, Yonah.</t>
        </is>
      </c>
      <c r="L577" t="inlineStr">
        <is>
          <t>Dobbs Ferry, NY : Oceana Publ. Inc., 1999.</t>
        </is>
      </c>
      <c r="M577" t="inlineStr">
        <is>
          <t>1999</t>
        </is>
      </c>
      <c r="O577" t="inlineStr">
        <is>
          <t>eng</t>
        </is>
      </c>
      <c r="P577" t="inlineStr">
        <is>
          <t>nyu</t>
        </is>
      </c>
      <c r="Q577" t="inlineStr">
        <is>
          <t>Terrorism. Second series, 1064-9352 ; 5-8</t>
        </is>
      </c>
      <c r="R577" t="inlineStr">
        <is>
          <t xml:space="preserve">HV </t>
        </is>
      </c>
      <c r="S577" t="n">
        <v>0</v>
      </c>
      <c r="T577" t="n">
        <v>3</v>
      </c>
      <c r="V577" t="inlineStr">
        <is>
          <t>2009-09-17</t>
        </is>
      </c>
      <c r="W577" t="inlineStr">
        <is>
          <t>2000-01-06</t>
        </is>
      </c>
      <c r="X577" t="inlineStr">
        <is>
          <t>2000-01-06</t>
        </is>
      </c>
      <c r="Y577" t="n">
        <v>227</v>
      </c>
      <c r="Z577" t="n">
        <v>183</v>
      </c>
      <c r="AA577" t="n">
        <v>185</v>
      </c>
      <c r="AB577" t="n">
        <v>2</v>
      </c>
      <c r="AC577" t="n">
        <v>2</v>
      </c>
      <c r="AD577" t="n">
        <v>13</v>
      </c>
      <c r="AE577" t="n">
        <v>13</v>
      </c>
      <c r="AF577" t="n">
        <v>2</v>
      </c>
      <c r="AG577" t="n">
        <v>2</v>
      </c>
      <c r="AH577" t="n">
        <v>2</v>
      </c>
      <c r="AI577" t="n">
        <v>2</v>
      </c>
      <c r="AJ577" t="n">
        <v>4</v>
      </c>
      <c r="AK577" t="n">
        <v>4</v>
      </c>
      <c r="AL577" t="n">
        <v>1</v>
      </c>
      <c r="AM577" t="n">
        <v>1</v>
      </c>
      <c r="AN577" t="n">
        <v>7</v>
      </c>
      <c r="AO577" t="n">
        <v>7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HYPERLINK("http://catalog.hathitrust.org/Record/003451360","HathiTrust Record")</f>
        <v/>
      </c>
      <c r="AS577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7">
        <f>HYPERLINK("http://www.worldcat.org/oclc/43097470","WorldCat Record")</f>
        <v/>
      </c>
      <c r="AU577" t="inlineStr">
        <is>
          <t>10567311731:eng</t>
        </is>
      </c>
      <c r="AV577" t="inlineStr">
        <is>
          <t>43097470</t>
        </is>
      </c>
      <c r="AW577" t="inlineStr">
        <is>
          <t>991003051559702656</t>
        </is>
      </c>
      <c r="AX577" t="inlineStr">
        <is>
          <t>991003051559702656</t>
        </is>
      </c>
      <c r="AY577" t="inlineStr">
        <is>
          <t>2268046320002656</t>
        </is>
      </c>
      <c r="AZ577" t="inlineStr">
        <is>
          <t>BOOK</t>
        </is>
      </c>
      <c r="BB577" t="inlineStr">
        <is>
          <t>9780379214161</t>
        </is>
      </c>
      <c r="BC577" t="inlineStr">
        <is>
          <t>32285003638649</t>
        </is>
      </c>
      <c r="BD577" t="inlineStr">
        <is>
          <t>893227627</t>
        </is>
      </c>
    </row>
    <row r="578">
      <c r="A578" t="inlineStr">
        <is>
          <t>No</t>
        </is>
      </c>
      <c r="B578" t="inlineStr">
        <is>
          <t>HV6431 .T465 v.5-8</t>
        </is>
      </c>
      <c r="C578" t="inlineStr">
        <is>
          <t>0                      HV 6431000T  465                                                     v.5-8</t>
        </is>
      </c>
      <c r="D578" t="inlineStr">
        <is>
          <t>Cyber terrorism and information warfare / Yonah Alexander and Michael S. Swetnam ; Yonah Alexander, Donald J. Musch, general editors.</t>
        </is>
      </c>
      <c r="E578" t="inlineStr">
        <is>
          <t>V. 8</t>
        </is>
      </c>
      <c r="F578" t="inlineStr">
        <is>
          <t>Yes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Alexander, Yonah.</t>
        </is>
      </c>
      <c r="L578" t="inlineStr">
        <is>
          <t>Dobbs Ferry, NY : Oceana Publ. Inc., 1999.</t>
        </is>
      </c>
      <c r="M578" t="inlineStr">
        <is>
          <t>1999</t>
        </is>
      </c>
      <c r="O578" t="inlineStr">
        <is>
          <t>eng</t>
        </is>
      </c>
      <c r="P578" t="inlineStr">
        <is>
          <t>nyu</t>
        </is>
      </c>
      <c r="Q578" t="inlineStr">
        <is>
          <t>Terrorism. Second series, 1064-9352 ; 5-8</t>
        </is>
      </c>
      <c r="R578" t="inlineStr">
        <is>
          <t xml:space="preserve">HV </t>
        </is>
      </c>
      <c r="S578" t="n">
        <v>2</v>
      </c>
      <c r="T578" t="n">
        <v>3</v>
      </c>
      <c r="U578" t="inlineStr">
        <is>
          <t>2009-09-17</t>
        </is>
      </c>
      <c r="V578" t="inlineStr">
        <is>
          <t>2009-09-17</t>
        </is>
      </c>
      <c r="W578" t="inlineStr">
        <is>
          <t>2000-01-06</t>
        </is>
      </c>
      <c r="X578" t="inlineStr">
        <is>
          <t>2000-01-06</t>
        </is>
      </c>
      <c r="Y578" t="n">
        <v>227</v>
      </c>
      <c r="Z578" t="n">
        <v>183</v>
      </c>
      <c r="AA578" t="n">
        <v>185</v>
      </c>
      <c r="AB578" t="n">
        <v>2</v>
      </c>
      <c r="AC578" t="n">
        <v>2</v>
      </c>
      <c r="AD578" t="n">
        <v>13</v>
      </c>
      <c r="AE578" t="n">
        <v>13</v>
      </c>
      <c r="AF578" t="n">
        <v>2</v>
      </c>
      <c r="AG578" t="n">
        <v>2</v>
      </c>
      <c r="AH578" t="n">
        <v>2</v>
      </c>
      <c r="AI578" t="n">
        <v>2</v>
      </c>
      <c r="AJ578" t="n">
        <v>4</v>
      </c>
      <c r="AK578" t="n">
        <v>4</v>
      </c>
      <c r="AL578" t="n">
        <v>1</v>
      </c>
      <c r="AM578" t="n">
        <v>1</v>
      </c>
      <c r="AN578" t="n">
        <v>7</v>
      </c>
      <c r="AO578" t="n">
        <v>7</v>
      </c>
      <c r="AP578" t="inlineStr">
        <is>
          <t>No</t>
        </is>
      </c>
      <c r="AQ578" t="inlineStr">
        <is>
          <t>Yes</t>
        </is>
      </c>
      <c r="AR578">
        <f>HYPERLINK("http://catalog.hathitrust.org/Record/003451360","HathiTrust Record")</f>
        <v/>
      </c>
      <c r="AS578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8">
        <f>HYPERLINK("http://www.worldcat.org/oclc/43097470","WorldCat Record")</f>
        <v/>
      </c>
      <c r="AU578" t="inlineStr">
        <is>
          <t>10567311731:eng</t>
        </is>
      </c>
      <c r="AV578" t="inlineStr">
        <is>
          <t>43097470</t>
        </is>
      </c>
      <c r="AW578" t="inlineStr">
        <is>
          <t>991003051559702656</t>
        </is>
      </c>
      <c r="AX578" t="inlineStr">
        <is>
          <t>991003051559702656</t>
        </is>
      </c>
      <c r="AY578" t="inlineStr">
        <is>
          <t>2268046320002656</t>
        </is>
      </c>
      <c r="AZ578" t="inlineStr">
        <is>
          <t>BOOK</t>
        </is>
      </c>
      <c r="BB578" t="inlineStr">
        <is>
          <t>9780379214161</t>
        </is>
      </c>
      <c r="BC578" t="inlineStr">
        <is>
          <t>32285003638664</t>
        </is>
      </c>
      <c r="BD578" t="inlineStr">
        <is>
          <t>893251976</t>
        </is>
      </c>
    </row>
    <row r="579">
      <c r="A579" t="inlineStr">
        <is>
          <t>No</t>
        </is>
      </c>
      <c r="B579" t="inlineStr">
        <is>
          <t>HV6431 .T465 v.5-8</t>
        </is>
      </c>
      <c r="C579" t="inlineStr">
        <is>
          <t>0                      HV 6431000T  465                                                     v.5-8</t>
        </is>
      </c>
      <c r="D579" t="inlineStr">
        <is>
          <t>Cyber terrorism and information warfare / Yonah Alexander and Michael S. Swetnam ; Yonah Alexander, Donald J. Musch, general editors.</t>
        </is>
      </c>
      <c r="E579" t="inlineStr">
        <is>
          <t>V. 7</t>
        </is>
      </c>
      <c r="F579" t="inlineStr">
        <is>
          <t>Yes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Alexander, Yonah.</t>
        </is>
      </c>
      <c r="L579" t="inlineStr">
        <is>
          <t>Dobbs Ferry, NY : Oceana Publ. Inc., 1999.</t>
        </is>
      </c>
      <c r="M579" t="inlineStr">
        <is>
          <t>1999</t>
        </is>
      </c>
      <c r="O579" t="inlineStr">
        <is>
          <t>eng</t>
        </is>
      </c>
      <c r="P579" t="inlineStr">
        <is>
          <t>nyu</t>
        </is>
      </c>
      <c r="Q579" t="inlineStr">
        <is>
          <t>Terrorism. Second series, 1064-9352 ; 5-8</t>
        </is>
      </c>
      <c r="R579" t="inlineStr">
        <is>
          <t xml:space="preserve">HV </t>
        </is>
      </c>
      <c r="S579" t="n">
        <v>0</v>
      </c>
      <c r="T579" t="n">
        <v>3</v>
      </c>
      <c r="V579" t="inlineStr">
        <is>
          <t>2009-09-17</t>
        </is>
      </c>
      <c r="W579" t="inlineStr">
        <is>
          <t>2000-01-06</t>
        </is>
      </c>
      <c r="X579" t="inlineStr">
        <is>
          <t>2000-01-06</t>
        </is>
      </c>
      <c r="Y579" t="n">
        <v>227</v>
      </c>
      <c r="Z579" t="n">
        <v>183</v>
      </c>
      <c r="AA579" t="n">
        <v>185</v>
      </c>
      <c r="AB579" t="n">
        <v>2</v>
      </c>
      <c r="AC579" t="n">
        <v>2</v>
      </c>
      <c r="AD579" t="n">
        <v>13</v>
      </c>
      <c r="AE579" t="n">
        <v>13</v>
      </c>
      <c r="AF579" t="n">
        <v>2</v>
      </c>
      <c r="AG579" t="n">
        <v>2</v>
      </c>
      <c r="AH579" t="n">
        <v>2</v>
      </c>
      <c r="AI579" t="n">
        <v>2</v>
      </c>
      <c r="AJ579" t="n">
        <v>4</v>
      </c>
      <c r="AK579" t="n">
        <v>4</v>
      </c>
      <c r="AL579" t="n">
        <v>1</v>
      </c>
      <c r="AM579" t="n">
        <v>1</v>
      </c>
      <c r="AN579" t="n">
        <v>7</v>
      </c>
      <c r="AO579" t="n">
        <v>7</v>
      </c>
      <c r="AP579" t="inlineStr">
        <is>
          <t>No</t>
        </is>
      </c>
      <c r="AQ579" t="inlineStr">
        <is>
          <t>Yes</t>
        </is>
      </c>
      <c r="AR579">
        <f>HYPERLINK("http://catalog.hathitrust.org/Record/003451360","HathiTrust Record")</f>
        <v/>
      </c>
      <c r="AS579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79">
        <f>HYPERLINK("http://www.worldcat.org/oclc/43097470","WorldCat Record")</f>
        <v/>
      </c>
      <c r="AU579" t="inlineStr">
        <is>
          <t>10567311731:eng</t>
        </is>
      </c>
      <c r="AV579" t="inlineStr">
        <is>
          <t>43097470</t>
        </is>
      </c>
      <c r="AW579" t="inlineStr">
        <is>
          <t>991003051559702656</t>
        </is>
      </c>
      <c r="AX579" t="inlineStr">
        <is>
          <t>991003051559702656</t>
        </is>
      </c>
      <c r="AY579" t="inlineStr">
        <is>
          <t>2268046320002656</t>
        </is>
      </c>
      <c r="AZ579" t="inlineStr">
        <is>
          <t>BOOK</t>
        </is>
      </c>
      <c r="BB579" t="inlineStr">
        <is>
          <t>9780379214161</t>
        </is>
      </c>
      <c r="BC579" t="inlineStr">
        <is>
          <t>32285003638656</t>
        </is>
      </c>
      <c r="BD579" t="inlineStr">
        <is>
          <t>893262614</t>
        </is>
      </c>
    </row>
    <row r="580">
      <c r="A580" t="inlineStr">
        <is>
          <t>No</t>
        </is>
      </c>
      <c r="B580" t="inlineStr">
        <is>
          <t>HV6431 .T465 v.5-8</t>
        </is>
      </c>
      <c r="C580" t="inlineStr">
        <is>
          <t>0                      HV 6431000T  465                                                     v.5-8</t>
        </is>
      </c>
      <c r="D580" t="inlineStr">
        <is>
          <t>Cyber terrorism and information warfare / Yonah Alexander and Michael S. Swetnam ; Yonah Alexander, Donald J. Musch, general editors.</t>
        </is>
      </c>
      <c r="E580" t="inlineStr">
        <is>
          <t>V. 5</t>
        </is>
      </c>
      <c r="F580" t="inlineStr">
        <is>
          <t>Yes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Alexander, Yonah.</t>
        </is>
      </c>
      <c r="L580" t="inlineStr">
        <is>
          <t>Dobbs Ferry, NY : Oceana Publ. Inc., 1999.</t>
        </is>
      </c>
      <c r="M580" t="inlineStr">
        <is>
          <t>1999</t>
        </is>
      </c>
      <c r="O580" t="inlineStr">
        <is>
          <t>eng</t>
        </is>
      </c>
      <c r="P580" t="inlineStr">
        <is>
          <t>nyu</t>
        </is>
      </c>
      <c r="Q580" t="inlineStr">
        <is>
          <t>Terrorism. Second series, 1064-9352 ; 5-8</t>
        </is>
      </c>
      <c r="R580" t="inlineStr">
        <is>
          <t xml:space="preserve">HV </t>
        </is>
      </c>
      <c r="S580" t="n">
        <v>1</v>
      </c>
      <c r="T580" t="n">
        <v>3</v>
      </c>
      <c r="U580" t="inlineStr">
        <is>
          <t>2001-02-23</t>
        </is>
      </c>
      <c r="V580" t="inlineStr">
        <is>
          <t>2009-09-17</t>
        </is>
      </c>
      <c r="W580" t="inlineStr">
        <is>
          <t>2000-01-06</t>
        </is>
      </c>
      <c r="X580" t="inlineStr">
        <is>
          <t>2000-01-06</t>
        </is>
      </c>
      <c r="Y580" t="n">
        <v>227</v>
      </c>
      <c r="Z580" t="n">
        <v>183</v>
      </c>
      <c r="AA580" t="n">
        <v>185</v>
      </c>
      <c r="AB580" t="n">
        <v>2</v>
      </c>
      <c r="AC580" t="n">
        <v>2</v>
      </c>
      <c r="AD580" t="n">
        <v>13</v>
      </c>
      <c r="AE580" t="n">
        <v>13</v>
      </c>
      <c r="AF580" t="n">
        <v>2</v>
      </c>
      <c r="AG580" t="n">
        <v>2</v>
      </c>
      <c r="AH580" t="n">
        <v>2</v>
      </c>
      <c r="AI580" t="n">
        <v>2</v>
      </c>
      <c r="AJ580" t="n">
        <v>4</v>
      </c>
      <c r="AK580" t="n">
        <v>4</v>
      </c>
      <c r="AL580" t="n">
        <v>1</v>
      </c>
      <c r="AM580" t="n">
        <v>1</v>
      </c>
      <c r="AN580" t="n">
        <v>7</v>
      </c>
      <c r="AO580" t="n">
        <v>7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HYPERLINK("http://catalog.hathitrust.org/Record/003451360","HathiTrust Record")</f>
        <v/>
      </c>
      <c r="AS580">
        <f>HYPERLINK("https://creighton-primo.hosted.exlibrisgroup.com/primo-explore/search?tab=default_tab&amp;search_scope=EVERYTHING&amp;vid=01CRU&amp;lang=en_US&amp;offset=0&amp;query=any,contains,991003051559702656","Catalog Record")</f>
        <v/>
      </c>
      <c r="AT580">
        <f>HYPERLINK("http://www.worldcat.org/oclc/43097470","WorldCat Record")</f>
        <v/>
      </c>
      <c r="AU580" t="inlineStr">
        <is>
          <t>10567311731:eng</t>
        </is>
      </c>
      <c r="AV580" t="inlineStr">
        <is>
          <t>43097470</t>
        </is>
      </c>
      <c r="AW580" t="inlineStr">
        <is>
          <t>991003051559702656</t>
        </is>
      </c>
      <c r="AX580" t="inlineStr">
        <is>
          <t>991003051559702656</t>
        </is>
      </c>
      <c r="AY580" t="inlineStr">
        <is>
          <t>2268046320002656</t>
        </is>
      </c>
      <c r="AZ580" t="inlineStr">
        <is>
          <t>BOOK</t>
        </is>
      </c>
      <c r="BB580" t="inlineStr">
        <is>
          <t>9780379214161</t>
        </is>
      </c>
      <c r="BC580" t="inlineStr">
        <is>
          <t>32285003638631</t>
        </is>
      </c>
      <c r="BD580" t="inlineStr">
        <is>
          <t>893251977</t>
        </is>
      </c>
    </row>
    <row r="581">
      <c r="A581" t="inlineStr">
        <is>
          <t>No</t>
        </is>
      </c>
      <c r="B581" t="inlineStr">
        <is>
          <t>HV6431 .T49 1978a</t>
        </is>
      </c>
      <c r="C581" t="inlineStr">
        <is>
          <t>0                      HV 6431000T  49          1978a</t>
        </is>
      </c>
      <c r="D581" t="inlineStr">
        <is>
          <t>The Terrorism reader : a historical anthology / edited by Walter Laqueur. --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L581" t="inlineStr">
        <is>
          <t>Philadelphia : Temple University Press, c1978.</t>
        </is>
      </c>
      <c r="M581" t="inlineStr">
        <is>
          <t>1978</t>
        </is>
      </c>
      <c r="O581" t="inlineStr">
        <is>
          <t>eng</t>
        </is>
      </c>
      <c r="P581" t="inlineStr">
        <is>
          <t>pau</t>
        </is>
      </c>
      <c r="R581" t="inlineStr">
        <is>
          <t xml:space="preserve">HV </t>
        </is>
      </c>
      <c r="S581" t="n">
        <v>3</v>
      </c>
      <c r="T581" t="n">
        <v>3</v>
      </c>
      <c r="U581" t="inlineStr">
        <is>
          <t>2007-06-21</t>
        </is>
      </c>
      <c r="V581" t="inlineStr">
        <is>
          <t>2007-06-21</t>
        </is>
      </c>
      <c r="W581" t="inlineStr">
        <is>
          <t>1992-07-08</t>
        </is>
      </c>
      <c r="X581" t="inlineStr">
        <is>
          <t>1992-07-08</t>
        </is>
      </c>
      <c r="Y581" t="n">
        <v>528</v>
      </c>
      <c r="Z581" t="n">
        <v>464</v>
      </c>
      <c r="AA581" t="n">
        <v>727</v>
      </c>
      <c r="AB581" t="n">
        <v>2</v>
      </c>
      <c r="AC581" t="n">
        <v>4</v>
      </c>
      <c r="AD581" t="n">
        <v>17</v>
      </c>
      <c r="AE581" t="n">
        <v>29</v>
      </c>
      <c r="AF581" t="n">
        <v>5</v>
      </c>
      <c r="AG581" t="n">
        <v>9</v>
      </c>
      <c r="AH581" t="n">
        <v>4</v>
      </c>
      <c r="AI581" t="n">
        <v>7</v>
      </c>
      <c r="AJ581" t="n">
        <v>11</v>
      </c>
      <c r="AK581" t="n">
        <v>16</v>
      </c>
      <c r="AL581" t="n">
        <v>1</v>
      </c>
      <c r="AM581" t="n">
        <v>3</v>
      </c>
      <c r="AN581" t="n">
        <v>1</v>
      </c>
      <c r="AO581" t="n">
        <v>1</v>
      </c>
      <c r="AP581" t="inlineStr">
        <is>
          <t>No</t>
        </is>
      </c>
      <c r="AQ581" t="inlineStr">
        <is>
          <t>No</t>
        </is>
      </c>
      <c r="AS581">
        <f>HYPERLINK("https://creighton-primo.hosted.exlibrisgroup.com/primo-explore/search?tab=default_tab&amp;search_scope=EVERYTHING&amp;vid=01CRU&amp;lang=en_US&amp;offset=0&amp;query=any,contains,991004625839702656","Catalog Record")</f>
        <v/>
      </c>
      <c r="AT581">
        <f>HYPERLINK("http://www.worldcat.org/oclc/3826299","WorldCat Record")</f>
        <v/>
      </c>
      <c r="AU581" t="inlineStr">
        <is>
          <t>815113231:eng</t>
        </is>
      </c>
      <c r="AV581" t="inlineStr">
        <is>
          <t>3826299</t>
        </is>
      </c>
      <c r="AW581" t="inlineStr">
        <is>
          <t>991004625839702656</t>
        </is>
      </c>
      <c r="AX581" t="inlineStr">
        <is>
          <t>991004625839702656</t>
        </is>
      </c>
      <c r="AY581" t="inlineStr">
        <is>
          <t>2259734000002656</t>
        </is>
      </c>
      <c r="AZ581" t="inlineStr">
        <is>
          <t>BOOK</t>
        </is>
      </c>
      <c r="BB581" t="inlineStr">
        <is>
          <t>9780877221197</t>
        </is>
      </c>
      <c r="BC581" t="inlineStr">
        <is>
          <t>32285001181584</t>
        </is>
      </c>
      <c r="BD581" t="inlineStr">
        <is>
          <t>893500782</t>
        </is>
      </c>
    </row>
    <row r="582">
      <c r="A582" t="inlineStr">
        <is>
          <t>No</t>
        </is>
      </c>
      <c r="B582" t="inlineStr">
        <is>
          <t>HV6431 .T499 2004</t>
        </is>
      </c>
      <c r="C582" t="inlineStr">
        <is>
          <t>0                      HV 6431000T  499         2004</t>
        </is>
      </c>
      <c r="D582" t="inlineStr">
        <is>
          <t>Terrorism : the philosophical issues / edited by Igor Primoratz.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Houndmills, Basingstoke, Hampshire ; New York : Palgrave Macmillan, 2004.</t>
        </is>
      </c>
      <c r="M582" t="inlineStr">
        <is>
          <t>2004</t>
        </is>
      </c>
      <c r="O582" t="inlineStr">
        <is>
          <t>eng</t>
        </is>
      </c>
      <c r="P582" t="inlineStr">
        <is>
          <t>enk</t>
        </is>
      </c>
      <c r="R582" t="inlineStr">
        <is>
          <t xml:space="preserve">HV </t>
        </is>
      </c>
      <c r="S582" t="n">
        <v>10</v>
      </c>
      <c r="T582" t="n">
        <v>10</v>
      </c>
      <c r="U582" t="inlineStr">
        <is>
          <t>2008-04-07</t>
        </is>
      </c>
      <c r="V582" t="inlineStr">
        <is>
          <t>2008-04-07</t>
        </is>
      </c>
      <c r="W582" t="inlineStr">
        <is>
          <t>2005-03-29</t>
        </is>
      </c>
      <c r="X582" t="inlineStr">
        <is>
          <t>2005-03-29</t>
        </is>
      </c>
      <c r="Y582" t="n">
        <v>645</v>
      </c>
      <c r="Z582" t="n">
        <v>476</v>
      </c>
      <c r="AA582" t="n">
        <v>500</v>
      </c>
      <c r="AB582" t="n">
        <v>5</v>
      </c>
      <c r="AC582" t="n">
        <v>5</v>
      </c>
      <c r="AD582" t="n">
        <v>28</v>
      </c>
      <c r="AE582" t="n">
        <v>28</v>
      </c>
      <c r="AF582" t="n">
        <v>14</v>
      </c>
      <c r="AG582" t="n">
        <v>14</v>
      </c>
      <c r="AH582" t="n">
        <v>8</v>
      </c>
      <c r="AI582" t="n">
        <v>8</v>
      </c>
      <c r="AJ582" t="n">
        <v>10</v>
      </c>
      <c r="AK582" t="n">
        <v>10</v>
      </c>
      <c r="AL582" t="n">
        <v>4</v>
      </c>
      <c r="AM582" t="n">
        <v>4</v>
      </c>
      <c r="AN582" t="n">
        <v>1</v>
      </c>
      <c r="AO582" t="n">
        <v>1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HYPERLINK("https://creighton-primo.hosted.exlibrisgroup.com/primo-explore/search?tab=default_tab&amp;search_scope=EVERYTHING&amp;vid=01CRU&amp;lang=en_US&amp;offset=0&amp;query=any,contains,991004480519702656","Catalog Record")</f>
        <v/>
      </c>
      <c r="AT582">
        <f>HYPERLINK("http://www.worldcat.org/oclc/55131272","WorldCat Record")</f>
        <v/>
      </c>
      <c r="AU582" t="inlineStr">
        <is>
          <t>861215898:eng</t>
        </is>
      </c>
      <c r="AV582" t="inlineStr">
        <is>
          <t>55131272</t>
        </is>
      </c>
      <c r="AW582" t="inlineStr">
        <is>
          <t>991004480519702656</t>
        </is>
      </c>
      <c r="AX582" t="inlineStr">
        <is>
          <t>991004480519702656</t>
        </is>
      </c>
      <c r="AY582" t="inlineStr">
        <is>
          <t>2268356840002656</t>
        </is>
      </c>
      <c r="AZ582" t="inlineStr">
        <is>
          <t>BOOK</t>
        </is>
      </c>
      <c r="BB582" t="inlineStr">
        <is>
          <t>9781403918161</t>
        </is>
      </c>
      <c r="BC582" t="inlineStr">
        <is>
          <t>32285005045181</t>
        </is>
      </c>
      <c r="BD582" t="inlineStr">
        <is>
          <t>893888765</t>
        </is>
      </c>
    </row>
    <row r="583">
      <c r="A583" t="inlineStr">
        <is>
          <t>No</t>
        </is>
      </c>
      <c r="B583" t="inlineStr">
        <is>
          <t>HV6431 .T5</t>
        </is>
      </c>
      <c r="C583" t="inlineStr">
        <is>
          <t>0                      HV 6431000T  5</t>
        </is>
      </c>
      <c r="D583" t="inlineStr">
        <is>
          <t>Terrorism : theory and practice / edited by Yonah Alexander, David Carlson, Paul Wilkinson.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L583" t="inlineStr">
        <is>
          <t>Boulder, Colo. : Westview Press, [1979]</t>
        </is>
      </c>
      <c r="M583" t="inlineStr">
        <is>
          <t>1979</t>
        </is>
      </c>
      <c r="O583" t="inlineStr">
        <is>
          <t>eng</t>
        </is>
      </c>
      <c r="P583" t="inlineStr">
        <is>
          <t>cou</t>
        </is>
      </c>
      <c r="Q583" t="inlineStr">
        <is>
          <t>Westview special studies in national and international terrorism</t>
        </is>
      </c>
      <c r="R583" t="inlineStr">
        <is>
          <t xml:space="preserve">HV </t>
        </is>
      </c>
      <c r="S583" t="n">
        <v>28</v>
      </c>
      <c r="T583" t="n">
        <v>28</v>
      </c>
      <c r="U583" t="inlineStr">
        <is>
          <t>2005-10-30</t>
        </is>
      </c>
      <c r="V583" t="inlineStr">
        <is>
          <t>2005-10-30</t>
        </is>
      </c>
      <c r="W583" t="inlineStr">
        <is>
          <t>1990-07-06</t>
        </is>
      </c>
      <c r="X583" t="inlineStr">
        <is>
          <t>1990-07-06</t>
        </is>
      </c>
      <c r="Y583" t="n">
        <v>696</v>
      </c>
      <c r="Z583" t="n">
        <v>574</v>
      </c>
      <c r="AA583" t="n">
        <v>734</v>
      </c>
      <c r="AB583" t="n">
        <v>3</v>
      </c>
      <c r="AC583" t="n">
        <v>3</v>
      </c>
      <c r="AD583" t="n">
        <v>28</v>
      </c>
      <c r="AE583" t="n">
        <v>31</v>
      </c>
      <c r="AF583" t="n">
        <v>10</v>
      </c>
      <c r="AG583" t="n">
        <v>11</v>
      </c>
      <c r="AH583" t="n">
        <v>6</v>
      </c>
      <c r="AI583" t="n">
        <v>8</v>
      </c>
      <c r="AJ583" t="n">
        <v>12</v>
      </c>
      <c r="AK583" t="n">
        <v>13</v>
      </c>
      <c r="AL583" t="n">
        <v>2</v>
      </c>
      <c r="AM583" t="n">
        <v>2</v>
      </c>
      <c r="AN583" t="n">
        <v>4</v>
      </c>
      <c r="AO583" t="n">
        <v>4</v>
      </c>
      <c r="AP583" t="inlineStr">
        <is>
          <t>No</t>
        </is>
      </c>
      <c r="AQ583" t="inlineStr">
        <is>
          <t>No</t>
        </is>
      </c>
      <c r="AS583">
        <f>HYPERLINK("https://creighton-primo.hosted.exlibrisgroup.com/primo-explore/search?tab=default_tab&amp;search_scope=EVERYTHING&amp;vid=01CRU&amp;lang=en_US&amp;offset=0&amp;query=any,contains,991004593219702656","Catalog Record")</f>
        <v/>
      </c>
      <c r="AT583">
        <f>HYPERLINK("http://www.worldcat.org/oclc/4135635","WorldCat Record")</f>
        <v/>
      </c>
      <c r="AU583" t="inlineStr">
        <is>
          <t>3943327159:eng</t>
        </is>
      </c>
      <c r="AV583" t="inlineStr">
        <is>
          <t>4135635</t>
        </is>
      </c>
      <c r="AW583" t="inlineStr">
        <is>
          <t>991004593219702656</t>
        </is>
      </c>
      <c r="AX583" t="inlineStr">
        <is>
          <t>991004593219702656</t>
        </is>
      </c>
      <c r="AY583" t="inlineStr">
        <is>
          <t>2255199960002656</t>
        </is>
      </c>
      <c r="AZ583" t="inlineStr">
        <is>
          <t>BOOK</t>
        </is>
      </c>
      <c r="BB583" t="inlineStr">
        <is>
          <t>9780891580898</t>
        </is>
      </c>
      <c r="BC583" t="inlineStr">
        <is>
          <t>32285000225978</t>
        </is>
      </c>
      <c r="BD583" t="inlineStr">
        <is>
          <t>893807252</t>
        </is>
      </c>
    </row>
    <row r="584">
      <c r="A584" t="inlineStr">
        <is>
          <t>No</t>
        </is>
      </c>
      <c r="B584" t="inlineStr">
        <is>
          <t>HV6431 .V56 1991</t>
        </is>
      </c>
      <c r="C584" t="inlineStr">
        <is>
          <t>0                      HV 6431000V  56          1991</t>
        </is>
      </c>
      <c r="D584" t="inlineStr">
        <is>
          <t>Violence, terrorism, and justice / edited by R.G. Frey &amp; Christopher W. Morris.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L584" t="inlineStr">
        <is>
          <t>Cambridge [England] ; New York : Cambridge University Press, 1991.</t>
        </is>
      </c>
      <c r="M584" t="inlineStr">
        <is>
          <t>1991</t>
        </is>
      </c>
      <c r="O584" t="inlineStr">
        <is>
          <t>eng</t>
        </is>
      </c>
      <c r="P584" t="inlineStr">
        <is>
          <t>enk</t>
        </is>
      </c>
      <c r="Q584" t="inlineStr">
        <is>
          <t>Cambridge studies in philosophy and public policy</t>
        </is>
      </c>
      <c r="R584" t="inlineStr">
        <is>
          <t xml:space="preserve">HV </t>
        </is>
      </c>
      <c r="S584" t="n">
        <v>20</v>
      </c>
      <c r="T584" t="n">
        <v>20</v>
      </c>
      <c r="U584" t="inlineStr">
        <is>
          <t>2008-04-07</t>
        </is>
      </c>
      <c r="V584" t="inlineStr">
        <is>
          <t>2008-04-07</t>
        </is>
      </c>
      <c r="W584" t="inlineStr">
        <is>
          <t>1992-03-01</t>
        </is>
      </c>
      <c r="X584" t="inlineStr">
        <is>
          <t>1992-03-01</t>
        </is>
      </c>
      <c r="Y584" t="n">
        <v>609</v>
      </c>
      <c r="Z584" t="n">
        <v>427</v>
      </c>
      <c r="AA584" t="n">
        <v>437</v>
      </c>
      <c r="AB584" t="n">
        <v>3</v>
      </c>
      <c r="AC584" t="n">
        <v>3</v>
      </c>
      <c r="AD584" t="n">
        <v>34</v>
      </c>
      <c r="AE584" t="n">
        <v>34</v>
      </c>
      <c r="AF584" t="n">
        <v>10</v>
      </c>
      <c r="AG584" t="n">
        <v>10</v>
      </c>
      <c r="AH584" t="n">
        <v>6</v>
      </c>
      <c r="AI584" t="n">
        <v>6</v>
      </c>
      <c r="AJ584" t="n">
        <v>11</v>
      </c>
      <c r="AK584" t="n">
        <v>11</v>
      </c>
      <c r="AL584" t="n">
        <v>2</v>
      </c>
      <c r="AM584" t="n">
        <v>2</v>
      </c>
      <c r="AN584" t="n">
        <v>11</v>
      </c>
      <c r="AO584" t="n">
        <v>11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HYPERLINK("https://creighton-primo.hosted.exlibrisgroup.com/primo-explore/search?tab=default_tab&amp;search_scope=EVERYTHING&amp;vid=01CRU&amp;lang=en_US&amp;offset=0&amp;query=any,contains,991001843149702656","Catalog Record")</f>
        <v/>
      </c>
      <c r="AT584">
        <f>HYPERLINK("http://www.worldcat.org/oclc/23144327","WorldCat Record")</f>
        <v/>
      </c>
      <c r="AU584" t="inlineStr">
        <is>
          <t>350146710:eng</t>
        </is>
      </c>
      <c r="AV584" t="inlineStr">
        <is>
          <t>23144327</t>
        </is>
      </c>
      <c r="AW584" t="inlineStr">
        <is>
          <t>991001843149702656</t>
        </is>
      </c>
      <c r="AX584" t="inlineStr">
        <is>
          <t>991001843149702656</t>
        </is>
      </c>
      <c r="AY584" t="inlineStr">
        <is>
          <t>2264313910002656</t>
        </is>
      </c>
      <c r="AZ584" t="inlineStr">
        <is>
          <t>BOOK</t>
        </is>
      </c>
      <c r="BB584" t="inlineStr">
        <is>
          <t>9780521409506</t>
        </is>
      </c>
      <c r="BC584" t="inlineStr">
        <is>
          <t>32285000937465</t>
        </is>
      </c>
      <c r="BD584" t="inlineStr">
        <is>
          <t>893261961</t>
        </is>
      </c>
    </row>
    <row r="585">
      <c r="A585" t="inlineStr">
        <is>
          <t>No</t>
        </is>
      </c>
      <c r="B585" t="inlineStr">
        <is>
          <t>HV6431 .W365 1989</t>
        </is>
      </c>
      <c r="C585" t="inlineStr">
        <is>
          <t>0                      HV 6431000W  365         1989</t>
        </is>
      </c>
      <c r="D585" t="inlineStr">
        <is>
          <t>Political terrorism : theory, tactics, and counter-measures / Grant Wardlaw.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Wardlaw, Grant.</t>
        </is>
      </c>
      <c r="L585" t="inlineStr">
        <is>
          <t>Cambridge [Cambridgeshire] ; New York : Cambridge University Press, 1989.</t>
        </is>
      </c>
      <c r="M585" t="inlineStr">
        <is>
          <t>1989</t>
        </is>
      </c>
      <c r="N585" t="inlineStr">
        <is>
          <t>2nd ed., rev. and extended.</t>
        </is>
      </c>
      <c r="O585" t="inlineStr">
        <is>
          <t>eng</t>
        </is>
      </c>
      <c r="P585" t="inlineStr">
        <is>
          <t>enk</t>
        </is>
      </c>
      <c r="R585" t="inlineStr">
        <is>
          <t xml:space="preserve">HV </t>
        </is>
      </c>
      <c r="S585" t="n">
        <v>23</v>
      </c>
      <c r="T585" t="n">
        <v>23</v>
      </c>
      <c r="U585" t="inlineStr">
        <is>
          <t>2004-11-03</t>
        </is>
      </c>
      <c r="V585" t="inlineStr">
        <is>
          <t>2004-11-03</t>
        </is>
      </c>
      <c r="W585" t="inlineStr">
        <is>
          <t>1990-08-17</t>
        </is>
      </c>
      <c r="X585" t="inlineStr">
        <is>
          <t>1990-08-17</t>
        </is>
      </c>
      <c r="Y585" t="n">
        <v>423</v>
      </c>
      <c r="Z585" t="n">
        <v>290</v>
      </c>
      <c r="AA585" t="n">
        <v>561</v>
      </c>
      <c r="AB585" t="n">
        <v>3</v>
      </c>
      <c r="AC585" t="n">
        <v>3</v>
      </c>
      <c r="AD585" t="n">
        <v>18</v>
      </c>
      <c r="AE585" t="n">
        <v>33</v>
      </c>
      <c r="AF585" t="n">
        <v>5</v>
      </c>
      <c r="AG585" t="n">
        <v>12</v>
      </c>
      <c r="AH585" t="n">
        <v>4</v>
      </c>
      <c r="AI585" t="n">
        <v>6</v>
      </c>
      <c r="AJ585" t="n">
        <v>8</v>
      </c>
      <c r="AK585" t="n">
        <v>14</v>
      </c>
      <c r="AL585" t="n">
        <v>2</v>
      </c>
      <c r="AM585" t="n">
        <v>2</v>
      </c>
      <c r="AN585" t="n">
        <v>3</v>
      </c>
      <c r="AO585" t="n">
        <v>6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HYPERLINK("https://creighton-primo.hosted.exlibrisgroup.com/primo-explore/search?tab=default_tab&amp;search_scope=EVERYTHING&amp;vid=01CRU&amp;lang=en_US&amp;offset=0&amp;query=any,contains,991001317919702656","Catalog Record")</f>
        <v/>
      </c>
      <c r="AT585">
        <f>HYPERLINK("http://www.worldcat.org/oclc/18191739","WorldCat Record")</f>
        <v/>
      </c>
      <c r="AU585" t="inlineStr">
        <is>
          <t>12199200:eng</t>
        </is>
      </c>
      <c r="AV585" t="inlineStr">
        <is>
          <t>18191739</t>
        </is>
      </c>
      <c r="AW585" t="inlineStr">
        <is>
          <t>991001317919702656</t>
        </is>
      </c>
      <c r="AX585" t="inlineStr">
        <is>
          <t>991001317919702656</t>
        </is>
      </c>
      <c r="AY585" t="inlineStr">
        <is>
          <t>2269058090002656</t>
        </is>
      </c>
      <c r="AZ585" t="inlineStr">
        <is>
          <t>BOOK</t>
        </is>
      </c>
      <c r="BB585" t="inlineStr">
        <is>
          <t>9780521368414</t>
        </is>
      </c>
      <c r="BC585" t="inlineStr">
        <is>
          <t>32285000244144</t>
        </is>
      </c>
      <c r="BD585" t="inlineStr">
        <is>
          <t>893315702</t>
        </is>
      </c>
    </row>
    <row r="586">
      <c r="A586" t="inlineStr">
        <is>
          <t>No</t>
        </is>
      </c>
      <c r="B586" t="inlineStr">
        <is>
          <t>HV6431 .W564 2001</t>
        </is>
      </c>
      <c r="C586" t="inlineStr">
        <is>
          <t>0                      HV 6431000W  564         2001</t>
        </is>
      </c>
      <c r="D586" t="inlineStr">
        <is>
          <t>Terrorism versus democracy : the liberal state response / Paul Wilkinson.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Wilkinson, Paul, 1937-2011.</t>
        </is>
      </c>
      <c r="L586" t="inlineStr">
        <is>
          <t>London ; Portland, OR : Frank Cass, 2001.</t>
        </is>
      </c>
      <c r="M586" t="inlineStr">
        <is>
          <t>2001</t>
        </is>
      </c>
      <c r="O586" t="inlineStr">
        <is>
          <t>eng</t>
        </is>
      </c>
      <c r="P586" t="inlineStr">
        <is>
          <t>enk</t>
        </is>
      </c>
      <c r="Q586" t="inlineStr">
        <is>
          <t>Cass series on political violence, 1365-0580 ; 9</t>
        </is>
      </c>
      <c r="R586" t="inlineStr">
        <is>
          <t xml:space="preserve">HV </t>
        </is>
      </c>
      <c r="S586" t="n">
        <v>6</v>
      </c>
      <c r="T586" t="n">
        <v>6</v>
      </c>
      <c r="U586" t="inlineStr">
        <is>
          <t>2010-09-08</t>
        </is>
      </c>
      <c r="V586" t="inlineStr">
        <is>
          <t>2010-09-08</t>
        </is>
      </c>
      <c r="W586" t="inlineStr">
        <is>
          <t>2002-04-30</t>
        </is>
      </c>
      <c r="X586" t="inlineStr">
        <is>
          <t>2002-04-30</t>
        </is>
      </c>
      <c r="Y586" t="n">
        <v>553</v>
      </c>
      <c r="Z586" t="n">
        <v>435</v>
      </c>
      <c r="AA586" t="n">
        <v>1048</v>
      </c>
      <c r="AB586" t="n">
        <v>3</v>
      </c>
      <c r="AC586" t="n">
        <v>14</v>
      </c>
      <c r="AD586" t="n">
        <v>24</v>
      </c>
      <c r="AE586" t="n">
        <v>50</v>
      </c>
      <c r="AF586" t="n">
        <v>8</v>
      </c>
      <c r="AG586" t="n">
        <v>17</v>
      </c>
      <c r="AH586" t="n">
        <v>5</v>
      </c>
      <c r="AI586" t="n">
        <v>8</v>
      </c>
      <c r="AJ586" t="n">
        <v>9</v>
      </c>
      <c r="AK586" t="n">
        <v>17</v>
      </c>
      <c r="AL586" t="n">
        <v>2</v>
      </c>
      <c r="AM586" t="n">
        <v>11</v>
      </c>
      <c r="AN586" t="n">
        <v>5</v>
      </c>
      <c r="AO586" t="n">
        <v>5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HYPERLINK("https://creighton-primo.hosted.exlibrisgroup.com/primo-explore/search?tab=default_tab&amp;search_scope=EVERYTHING&amp;vid=01CRU&amp;lang=en_US&amp;offset=0&amp;query=any,contains,991003760819702656","Catalog Record")</f>
        <v/>
      </c>
      <c r="AT586">
        <f>HYPERLINK("http://www.worldcat.org/oclc/45172297","WorldCat Record")</f>
        <v/>
      </c>
      <c r="AU586" t="inlineStr">
        <is>
          <t>795321620:eng</t>
        </is>
      </c>
      <c r="AV586" t="inlineStr">
        <is>
          <t>45172297</t>
        </is>
      </c>
      <c r="AW586" t="inlineStr">
        <is>
          <t>991003760819702656</t>
        </is>
      </c>
      <c r="AX586" t="inlineStr">
        <is>
          <t>991003760819702656</t>
        </is>
      </c>
      <c r="AY586" t="inlineStr">
        <is>
          <t>2258905550002656</t>
        </is>
      </c>
      <c r="AZ586" t="inlineStr">
        <is>
          <t>BOOK</t>
        </is>
      </c>
      <c r="BB586" t="inlineStr">
        <is>
          <t>9780714651392</t>
        </is>
      </c>
      <c r="BC586" t="inlineStr">
        <is>
          <t>32285004485057</t>
        </is>
      </c>
      <c r="BD586" t="inlineStr">
        <is>
          <t>893875131</t>
        </is>
      </c>
    </row>
    <row r="587">
      <c r="A587" t="inlineStr">
        <is>
          <t>No</t>
        </is>
      </c>
      <c r="B587" t="inlineStr">
        <is>
          <t>HV6431 .W64 2009</t>
        </is>
      </c>
      <c r="C587" t="inlineStr">
        <is>
          <t>0                      HV 6431000W  64          2009</t>
        </is>
      </c>
      <c r="D587" t="inlineStr">
        <is>
          <t>The world's most threatening terrorist networks and criminal gangs / edited by Michael T. Kindt, Jerrold M. Post, and Barry R. Schneider.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New York : Palgrave Macmillan, 2009.</t>
        </is>
      </c>
      <c r="M587" t="inlineStr">
        <is>
          <t>2009</t>
        </is>
      </c>
      <c r="N587" t="inlineStr">
        <is>
          <t>1st ed.</t>
        </is>
      </c>
      <c r="O587" t="inlineStr">
        <is>
          <t>eng</t>
        </is>
      </c>
      <c r="P587" t="inlineStr">
        <is>
          <t>nyu</t>
        </is>
      </c>
      <c r="R587" t="inlineStr">
        <is>
          <t xml:space="preserve">HV </t>
        </is>
      </c>
      <c r="S587" t="n">
        <v>1</v>
      </c>
      <c r="T587" t="n">
        <v>1</v>
      </c>
      <c r="U587" t="inlineStr">
        <is>
          <t>2010-08-02</t>
        </is>
      </c>
      <c r="V587" t="inlineStr">
        <is>
          <t>2010-08-02</t>
        </is>
      </c>
      <c r="W587" t="inlineStr">
        <is>
          <t>2010-07-31</t>
        </is>
      </c>
      <c r="X587" t="inlineStr">
        <is>
          <t>2010-07-31</t>
        </is>
      </c>
      <c r="Y587" t="n">
        <v>198</v>
      </c>
      <c r="Z587" t="n">
        <v>160</v>
      </c>
      <c r="AA587" t="n">
        <v>212</v>
      </c>
      <c r="AB587" t="n">
        <v>4</v>
      </c>
      <c r="AC587" t="n">
        <v>4</v>
      </c>
      <c r="AD587" t="n">
        <v>9</v>
      </c>
      <c r="AE587" t="n">
        <v>11</v>
      </c>
      <c r="AF587" t="n">
        <v>1</v>
      </c>
      <c r="AG587" t="n">
        <v>3</v>
      </c>
      <c r="AH587" t="n">
        <v>2</v>
      </c>
      <c r="AI587" t="n">
        <v>2</v>
      </c>
      <c r="AJ587" t="n">
        <v>4</v>
      </c>
      <c r="AK587" t="n">
        <v>6</v>
      </c>
      <c r="AL587" t="n">
        <v>3</v>
      </c>
      <c r="AM587" t="n">
        <v>3</v>
      </c>
      <c r="AN587" t="n">
        <v>1</v>
      </c>
      <c r="AO587" t="n">
        <v>1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HYPERLINK("https://creighton-primo.hosted.exlibrisgroup.com/primo-explore/search?tab=default_tab&amp;search_scope=EVERYTHING&amp;vid=01CRU&amp;lang=en_US&amp;offset=0&amp;query=any,contains,991000024039702656","Catalog Record")</f>
        <v/>
      </c>
      <c r="AT587">
        <f>HYPERLINK("http://www.worldcat.org/oclc/289095901","WorldCat Record")</f>
        <v/>
      </c>
      <c r="AU587" t="inlineStr">
        <is>
          <t>1011713228:eng</t>
        </is>
      </c>
      <c r="AV587" t="inlineStr">
        <is>
          <t>289095901</t>
        </is>
      </c>
      <c r="AW587" t="inlineStr">
        <is>
          <t>991000024039702656</t>
        </is>
      </c>
      <c r="AX587" t="inlineStr">
        <is>
          <t>991000024039702656</t>
        </is>
      </c>
      <c r="AY587" t="inlineStr">
        <is>
          <t>2258242120002656</t>
        </is>
      </c>
      <c r="AZ587" t="inlineStr">
        <is>
          <t>BOOK</t>
        </is>
      </c>
      <c r="BB587" t="inlineStr">
        <is>
          <t>9780230618091</t>
        </is>
      </c>
      <c r="BC587" t="inlineStr">
        <is>
          <t>32285005591531</t>
        </is>
      </c>
      <c r="BD587" t="inlineStr">
        <is>
          <t>893802420</t>
        </is>
      </c>
    </row>
    <row r="588">
      <c r="A588" t="inlineStr">
        <is>
          <t>No</t>
        </is>
      </c>
      <c r="B588" t="inlineStr">
        <is>
          <t>HV6431 .Y33 1993</t>
        </is>
      </c>
      <c r="C588" t="inlineStr">
        <is>
          <t>0                      HV 6431000Y  33          1993</t>
        </is>
      </c>
      <c r="D588" t="inlineStr">
        <is>
          <t>Tracking the Jackal : the search for Carlos, the world's most wanted man / David Yallop.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K588" t="inlineStr">
        <is>
          <t>Yallop, David A.</t>
        </is>
      </c>
      <c r="L588" t="inlineStr">
        <is>
          <t>New York : Random House, c1993.</t>
        </is>
      </c>
      <c r="M588" t="inlineStr">
        <is>
          <t>1993</t>
        </is>
      </c>
      <c r="N588" t="inlineStr">
        <is>
          <t>1st U.S. ed.</t>
        </is>
      </c>
      <c r="O588" t="inlineStr">
        <is>
          <t>eng</t>
        </is>
      </c>
      <c r="P588" t="inlineStr">
        <is>
          <t>nyu</t>
        </is>
      </c>
      <c r="R588" t="inlineStr">
        <is>
          <t xml:space="preserve">HV </t>
        </is>
      </c>
      <c r="S588" t="n">
        <v>5</v>
      </c>
      <c r="T588" t="n">
        <v>5</v>
      </c>
      <c r="U588" t="inlineStr">
        <is>
          <t>2008-05-12</t>
        </is>
      </c>
      <c r="V588" t="inlineStr">
        <is>
          <t>2008-05-12</t>
        </is>
      </c>
      <c r="W588" t="inlineStr">
        <is>
          <t>1994-02-08</t>
        </is>
      </c>
      <c r="X588" t="inlineStr">
        <is>
          <t>1994-02-08</t>
        </is>
      </c>
      <c r="Y588" t="n">
        <v>506</v>
      </c>
      <c r="Z588" t="n">
        <v>483</v>
      </c>
      <c r="AA588" t="n">
        <v>490</v>
      </c>
      <c r="AB588" t="n">
        <v>3</v>
      </c>
      <c r="AC588" t="n">
        <v>3</v>
      </c>
      <c r="AD588" t="n">
        <v>9</v>
      </c>
      <c r="AE588" t="n">
        <v>9</v>
      </c>
      <c r="AF588" t="n">
        <v>1</v>
      </c>
      <c r="AG588" t="n">
        <v>1</v>
      </c>
      <c r="AH588" t="n">
        <v>4</v>
      </c>
      <c r="AI588" t="n">
        <v>4</v>
      </c>
      <c r="AJ588" t="n">
        <v>4</v>
      </c>
      <c r="AK588" t="n">
        <v>4</v>
      </c>
      <c r="AL588" t="n">
        <v>1</v>
      </c>
      <c r="AM588" t="n">
        <v>1</v>
      </c>
      <c r="AN588" t="n">
        <v>1</v>
      </c>
      <c r="AO588" t="n">
        <v>1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HYPERLINK("http://catalog.hathitrust.org/Record/002784126","HathiTrust Record")</f>
        <v/>
      </c>
      <c r="AS588">
        <f>HYPERLINK("https://creighton-primo.hosted.exlibrisgroup.com/primo-explore/search?tab=default_tab&amp;search_scope=EVERYTHING&amp;vid=01CRU&amp;lang=en_US&amp;offset=0&amp;query=any,contains,991002172959702656","Catalog Record")</f>
        <v/>
      </c>
      <c r="AT588">
        <f>HYPERLINK("http://www.worldcat.org/oclc/27974606","WorldCat Record")</f>
        <v/>
      </c>
      <c r="AU588" t="inlineStr">
        <is>
          <t>346788:eng</t>
        </is>
      </c>
      <c r="AV588" t="inlineStr">
        <is>
          <t>27974606</t>
        </is>
      </c>
      <c r="AW588" t="inlineStr">
        <is>
          <t>991002172959702656</t>
        </is>
      </c>
      <c r="AX588" t="inlineStr">
        <is>
          <t>991002172959702656</t>
        </is>
      </c>
      <c r="AY588" t="inlineStr">
        <is>
          <t>2264171600002656</t>
        </is>
      </c>
      <c r="AZ588" t="inlineStr">
        <is>
          <t>BOOK</t>
        </is>
      </c>
      <c r="BB588" t="inlineStr">
        <is>
          <t>9780679425595</t>
        </is>
      </c>
      <c r="BC588" t="inlineStr">
        <is>
          <t>32285001840692</t>
        </is>
      </c>
      <c r="BD588" t="inlineStr">
        <is>
          <t>893316472</t>
        </is>
      </c>
    </row>
    <row r="589">
      <c r="A589" t="inlineStr">
        <is>
          <t>No</t>
        </is>
      </c>
      <c r="B589" t="inlineStr">
        <is>
          <t>HV6431 .Z85 1996</t>
        </is>
      </c>
      <c r="C589" t="inlineStr">
        <is>
          <t>0                      HV 6431000Z  85          1996</t>
        </is>
      </c>
      <c r="D589" t="inlineStr">
        <is>
          <t>Terror and taboo : the follies, fables, and faces of terrorism / Joseba Zulaika and William A. Douglass.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Zulaika, Joseba.</t>
        </is>
      </c>
      <c r="L589" t="inlineStr">
        <is>
          <t>New York : Routledge, 1996.</t>
        </is>
      </c>
      <c r="M589" t="inlineStr">
        <is>
          <t>1996</t>
        </is>
      </c>
      <c r="O589" t="inlineStr">
        <is>
          <t>eng</t>
        </is>
      </c>
      <c r="P589" t="inlineStr">
        <is>
          <t>nyu</t>
        </is>
      </c>
      <c r="R589" t="inlineStr">
        <is>
          <t xml:space="preserve">HV </t>
        </is>
      </c>
      <c r="S589" t="n">
        <v>16</v>
      </c>
      <c r="T589" t="n">
        <v>16</v>
      </c>
      <c r="U589" t="inlineStr">
        <is>
          <t>2008-12-16</t>
        </is>
      </c>
      <c r="V589" t="inlineStr">
        <is>
          <t>2008-12-16</t>
        </is>
      </c>
      <c r="W589" t="inlineStr">
        <is>
          <t>1996-08-20</t>
        </is>
      </c>
      <c r="X589" t="inlineStr">
        <is>
          <t>1996-08-20</t>
        </is>
      </c>
      <c r="Y589" t="n">
        <v>489</v>
      </c>
      <c r="Z589" t="n">
        <v>355</v>
      </c>
      <c r="AA589" t="n">
        <v>375</v>
      </c>
      <c r="AB589" t="n">
        <v>3</v>
      </c>
      <c r="AC589" t="n">
        <v>3</v>
      </c>
      <c r="AD589" t="n">
        <v>23</v>
      </c>
      <c r="AE589" t="n">
        <v>23</v>
      </c>
      <c r="AF589" t="n">
        <v>6</v>
      </c>
      <c r="AG589" t="n">
        <v>6</v>
      </c>
      <c r="AH589" t="n">
        <v>6</v>
      </c>
      <c r="AI589" t="n">
        <v>6</v>
      </c>
      <c r="AJ589" t="n">
        <v>15</v>
      </c>
      <c r="AK589" t="n">
        <v>15</v>
      </c>
      <c r="AL589" t="n">
        <v>2</v>
      </c>
      <c r="AM589" t="n">
        <v>2</v>
      </c>
      <c r="AN589" t="n">
        <v>1</v>
      </c>
      <c r="AO589" t="n">
        <v>1</v>
      </c>
      <c r="AP589" t="inlineStr">
        <is>
          <t>No</t>
        </is>
      </c>
      <c r="AQ589" t="inlineStr">
        <is>
          <t>No</t>
        </is>
      </c>
      <c r="AS589">
        <f>HYPERLINK("https://creighton-primo.hosted.exlibrisgroup.com/primo-explore/search?tab=default_tab&amp;search_scope=EVERYTHING&amp;vid=01CRU&amp;lang=en_US&amp;offset=0&amp;query=any,contains,991002576529702656","Catalog Record")</f>
        <v/>
      </c>
      <c r="AT589">
        <f>HYPERLINK("http://www.worldcat.org/oclc/33664912","WorldCat Record")</f>
        <v/>
      </c>
      <c r="AU589" t="inlineStr">
        <is>
          <t>38725409:eng</t>
        </is>
      </c>
      <c r="AV589" t="inlineStr">
        <is>
          <t>33664912</t>
        </is>
      </c>
      <c r="AW589" t="inlineStr">
        <is>
          <t>991002576529702656</t>
        </is>
      </c>
      <c r="AX589" t="inlineStr">
        <is>
          <t>991002576529702656</t>
        </is>
      </c>
      <c r="AY589" t="inlineStr">
        <is>
          <t>2257374870002656</t>
        </is>
      </c>
      <c r="AZ589" t="inlineStr">
        <is>
          <t>BOOK</t>
        </is>
      </c>
      <c r="BB589" t="inlineStr">
        <is>
          <t>9780415917582</t>
        </is>
      </c>
      <c r="BC589" t="inlineStr">
        <is>
          <t>32285002290947</t>
        </is>
      </c>
      <c r="BD589" t="inlineStr">
        <is>
          <t>893886462</t>
        </is>
      </c>
    </row>
    <row r="590">
      <c r="A590" t="inlineStr">
        <is>
          <t>No</t>
        </is>
      </c>
      <c r="B590" t="inlineStr">
        <is>
          <t>HV6432 .A37 2001</t>
        </is>
      </c>
      <c r="C590" t="inlineStr">
        <is>
          <t>0                      HV 6432000A  37          2001</t>
        </is>
      </c>
      <c r="D590" t="inlineStr">
        <is>
          <t>After 9/11 : solutions for a saner world / [edited by Don Hazen ... et. al]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L590" t="inlineStr">
        <is>
          <t>San Francisco, CA : AlterNet.org, 2001.</t>
        </is>
      </c>
      <c r="M590" t="inlineStr">
        <is>
          <t>2001</t>
        </is>
      </c>
      <c r="O590" t="inlineStr">
        <is>
          <t>eng</t>
        </is>
      </c>
      <c r="P590" t="inlineStr">
        <is>
          <t>cau</t>
        </is>
      </c>
      <c r="R590" t="inlineStr">
        <is>
          <t xml:space="preserve">HV </t>
        </is>
      </c>
      <c r="S590" t="n">
        <v>16</v>
      </c>
      <c r="T590" t="n">
        <v>16</v>
      </c>
      <c r="U590" t="inlineStr">
        <is>
          <t>2004-04-24</t>
        </is>
      </c>
      <c r="V590" t="inlineStr">
        <is>
          <t>2004-04-24</t>
        </is>
      </c>
      <c r="W590" t="inlineStr">
        <is>
          <t>2002-04-16</t>
        </is>
      </c>
      <c r="X590" t="inlineStr">
        <is>
          <t>2002-04-16</t>
        </is>
      </c>
      <c r="Y590" t="n">
        <v>73</v>
      </c>
      <c r="Z590" t="n">
        <v>70</v>
      </c>
      <c r="AA590" t="n">
        <v>71</v>
      </c>
      <c r="AB590" t="n">
        <v>1</v>
      </c>
      <c r="AC590" t="n">
        <v>1</v>
      </c>
      <c r="AD590" t="n">
        <v>1</v>
      </c>
      <c r="AE590" t="n">
        <v>1</v>
      </c>
      <c r="AF590" t="n">
        <v>1</v>
      </c>
      <c r="AG590" t="n">
        <v>1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HYPERLINK("http://catalog.hathitrust.org/Record/007062529","HathiTrust Record")</f>
        <v/>
      </c>
      <c r="AS590">
        <f>HYPERLINK("https://creighton-primo.hosted.exlibrisgroup.com/primo-explore/search?tab=default_tab&amp;search_scope=EVERYTHING&amp;vid=01CRU&amp;lang=en_US&amp;offset=0&amp;query=any,contains,991003754099702656","Catalog Record")</f>
        <v/>
      </c>
      <c r="AT590">
        <f>HYPERLINK("http://www.worldcat.org/oclc/49092706","WorldCat Record")</f>
        <v/>
      </c>
      <c r="AU590" t="inlineStr">
        <is>
          <t>2219888519:eng</t>
        </is>
      </c>
      <c r="AV590" t="inlineStr">
        <is>
          <t>49092706</t>
        </is>
      </c>
      <c r="AW590" t="inlineStr">
        <is>
          <t>991003754099702656</t>
        </is>
      </c>
      <c r="AX590" t="inlineStr">
        <is>
          <t>991003754099702656</t>
        </is>
      </c>
      <c r="AY590" t="inlineStr">
        <is>
          <t>2268448640002656</t>
        </is>
      </c>
      <c r="AZ590" t="inlineStr">
        <is>
          <t>BOOK</t>
        </is>
      </c>
      <c r="BB590" t="inlineStr">
        <is>
          <t>9780963368713</t>
        </is>
      </c>
      <c r="BC590" t="inlineStr">
        <is>
          <t>32285004480199</t>
        </is>
      </c>
      <c r="BD590" t="inlineStr">
        <is>
          <t>893336889</t>
        </is>
      </c>
    </row>
    <row r="591">
      <c r="A591" t="inlineStr">
        <is>
          <t>No</t>
        </is>
      </c>
      <c r="B591" t="inlineStr">
        <is>
          <t>HV6432 .A43 2001</t>
        </is>
      </c>
      <c r="C591" t="inlineStr">
        <is>
          <t>0                      HV 6432000A  43          2001</t>
        </is>
      </c>
      <c r="D591" t="inlineStr">
        <is>
          <t>The age of terror : America and the world after September 11 / edited by Strobe Talbott and Nayan Chanda.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L591" t="inlineStr">
        <is>
          <t>New York : Basic Books : Yale Center for the Study of Globalization, c2001.</t>
        </is>
      </c>
      <c r="M591" t="inlineStr">
        <is>
          <t>2001</t>
        </is>
      </c>
      <c r="N591" t="inlineStr">
        <is>
          <t>1st ed.</t>
        </is>
      </c>
      <c r="O591" t="inlineStr">
        <is>
          <t>eng</t>
        </is>
      </c>
      <c r="P591" t="inlineStr">
        <is>
          <t>nyu</t>
        </is>
      </c>
      <c r="R591" t="inlineStr">
        <is>
          <t xml:space="preserve">HV </t>
        </is>
      </c>
      <c r="S591" t="n">
        <v>6</v>
      </c>
      <c r="T591" t="n">
        <v>6</v>
      </c>
      <c r="U591" t="inlineStr">
        <is>
          <t>2010-10-02</t>
        </is>
      </c>
      <c r="V591" t="inlineStr">
        <is>
          <t>2010-10-02</t>
        </is>
      </c>
      <c r="W591" t="inlineStr">
        <is>
          <t>2002-01-29</t>
        </is>
      </c>
      <c r="X591" t="inlineStr">
        <is>
          <t>2002-01-29</t>
        </is>
      </c>
      <c r="Y591" t="n">
        <v>1360</v>
      </c>
      <c r="Z591" t="n">
        <v>1223</v>
      </c>
      <c r="AA591" t="n">
        <v>1365</v>
      </c>
      <c r="AB591" t="n">
        <v>7</v>
      </c>
      <c r="AC591" t="n">
        <v>10</v>
      </c>
      <c r="AD591" t="n">
        <v>37</v>
      </c>
      <c r="AE591" t="n">
        <v>39</v>
      </c>
      <c r="AF591" t="n">
        <v>19</v>
      </c>
      <c r="AG591" t="n">
        <v>19</v>
      </c>
      <c r="AH591" t="n">
        <v>7</v>
      </c>
      <c r="AI591" t="n">
        <v>7</v>
      </c>
      <c r="AJ591" t="n">
        <v>17</v>
      </c>
      <c r="AK591" t="n">
        <v>17</v>
      </c>
      <c r="AL591" t="n">
        <v>4</v>
      </c>
      <c r="AM591" t="n">
        <v>6</v>
      </c>
      <c r="AN591" t="n">
        <v>1</v>
      </c>
      <c r="AO591" t="n">
        <v>1</v>
      </c>
      <c r="AP591" t="inlineStr">
        <is>
          <t>No</t>
        </is>
      </c>
      <c r="AQ591" t="inlineStr">
        <is>
          <t>No</t>
        </is>
      </c>
      <c r="AS591">
        <f>HYPERLINK("https://creighton-primo.hosted.exlibrisgroup.com/primo-explore/search?tab=default_tab&amp;search_scope=EVERYTHING&amp;vid=01CRU&amp;lang=en_US&amp;offset=0&amp;query=any,contains,991003710299702656","Catalog Record")</f>
        <v/>
      </c>
      <c r="AT591">
        <f>HYPERLINK("http://www.worldcat.org/oclc/48557566","WorldCat Record")</f>
        <v/>
      </c>
      <c r="AU591" t="inlineStr">
        <is>
          <t>795455861:eng</t>
        </is>
      </c>
      <c r="AV591" t="inlineStr">
        <is>
          <t>48557566</t>
        </is>
      </c>
      <c r="AW591" t="inlineStr">
        <is>
          <t>991003710299702656</t>
        </is>
      </c>
      <c r="AX591" t="inlineStr">
        <is>
          <t>991003710299702656</t>
        </is>
      </c>
      <c r="AY591" t="inlineStr">
        <is>
          <t>2268404100002656</t>
        </is>
      </c>
      <c r="AZ591" t="inlineStr">
        <is>
          <t>BOOK</t>
        </is>
      </c>
      <c r="BB591" t="inlineStr">
        <is>
          <t>9780465083565</t>
        </is>
      </c>
      <c r="BC591" t="inlineStr">
        <is>
          <t>32285004451216</t>
        </is>
      </c>
      <c r="BD591" t="inlineStr">
        <is>
          <t>893887782</t>
        </is>
      </c>
    </row>
    <row r="592">
      <c r="A592" t="inlineStr">
        <is>
          <t>No</t>
        </is>
      </c>
      <c r="B592" t="inlineStr">
        <is>
          <t>HV6432 .A435 2002</t>
        </is>
      </c>
      <c r="C592" t="inlineStr">
        <is>
          <t>0                      HV 6432000A  435         2002</t>
        </is>
      </c>
      <c r="D592" t="inlineStr">
        <is>
          <t>Terrorism and business : the impact of September 11, 2001 / Dean C. Alexander and Yonah Alexander.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Alexander, Dean C., 1965-</t>
        </is>
      </c>
      <c r="L592" t="inlineStr">
        <is>
          <t>Ardsley, NY : Transnational Publishers, c2002.</t>
        </is>
      </c>
      <c r="M592" t="inlineStr">
        <is>
          <t>2002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HV </t>
        </is>
      </c>
      <c r="S592" t="n">
        <v>5</v>
      </c>
      <c r="T592" t="n">
        <v>5</v>
      </c>
      <c r="U592" t="inlineStr">
        <is>
          <t>2004-11-21</t>
        </is>
      </c>
      <c r="V592" t="inlineStr">
        <is>
          <t>2004-11-21</t>
        </is>
      </c>
      <c r="W592" t="inlineStr">
        <is>
          <t>2003-07-24</t>
        </is>
      </c>
      <c r="X592" t="inlineStr">
        <is>
          <t>2003-07-24</t>
        </is>
      </c>
      <c r="Y592" t="n">
        <v>634</v>
      </c>
      <c r="Z592" t="n">
        <v>586</v>
      </c>
      <c r="AA592" t="n">
        <v>593</v>
      </c>
      <c r="AB592" t="n">
        <v>4</v>
      </c>
      <c r="AC592" t="n">
        <v>4</v>
      </c>
      <c r="AD592" t="n">
        <v>25</v>
      </c>
      <c r="AE592" t="n">
        <v>25</v>
      </c>
      <c r="AF592" t="n">
        <v>6</v>
      </c>
      <c r="AG592" t="n">
        <v>6</v>
      </c>
      <c r="AH592" t="n">
        <v>5</v>
      </c>
      <c r="AI592" t="n">
        <v>5</v>
      </c>
      <c r="AJ592" t="n">
        <v>10</v>
      </c>
      <c r="AK592" t="n">
        <v>10</v>
      </c>
      <c r="AL592" t="n">
        <v>3</v>
      </c>
      <c r="AM592" t="n">
        <v>3</v>
      </c>
      <c r="AN592" t="n">
        <v>4</v>
      </c>
      <c r="AO592" t="n">
        <v>4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HYPERLINK("http://catalog.hathitrust.org/Record/004326362","HathiTrust Record")</f>
        <v/>
      </c>
      <c r="AS592">
        <f>HYPERLINK("https://creighton-primo.hosted.exlibrisgroup.com/primo-explore/search?tab=default_tab&amp;search_scope=EVERYTHING&amp;vid=01CRU&amp;lang=en_US&amp;offset=0&amp;query=any,contains,991004075939702656","Catalog Record")</f>
        <v/>
      </c>
      <c r="AT592">
        <f>HYPERLINK("http://www.worldcat.org/oclc/48834861","WorldCat Record")</f>
        <v/>
      </c>
      <c r="AU592" t="inlineStr">
        <is>
          <t>309176030:eng</t>
        </is>
      </c>
      <c r="AV592" t="inlineStr">
        <is>
          <t>48834861</t>
        </is>
      </c>
      <c r="AW592" t="inlineStr">
        <is>
          <t>991004075939702656</t>
        </is>
      </c>
      <c r="AX592" t="inlineStr">
        <is>
          <t>991004075939702656</t>
        </is>
      </c>
      <c r="AY592" t="inlineStr">
        <is>
          <t>2267939770002656</t>
        </is>
      </c>
      <c r="AZ592" t="inlineStr">
        <is>
          <t>BOOK</t>
        </is>
      </c>
      <c r="BB592" t="inlineStr">
        <is>
          <t>9781571052469</t>
        </is>
      </c>
      <c r="BC592" t="inlineStr">
        <is>
          <t>32285004756663</t>
        </is>
      </c>
      <c r="BD592" t="inlineStr">
        <is>
          <t>893775578</t>
        </is>
      </c>
    </row>
    <row r="593">
      <c r="A593" t="inlineStr">
        <is>
          <t>No</t>
        </is>
      </c>
      <c r="B593" t="inlineStr">
        <is>
          <t>HV6432 .A45 2004</t>
        </is>
      </c>
      <c r="C593" t="inlineStr">
        <is>
          <t>0                      HV 6432000A  45          2004</t>
        </is>
      </c>
      <c r="D593" t="inlineStr">
        <is>
          <t>Nuclear terrorism : the ultimate preventable catastrophe / Graham Allison.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Allison, Graham T.</t>
        </is>
      </c>
      <c r="L593" t="inlineStr">
        <is>
          <t>New York : Times Books/Henry Holt, 2004.</t>
        </is>
      </c>
      <c r="M593" t="inlineStr">
        <is>
          <t>2004</t>
        </is>
      </c>
      <c r="N593" t="inlineStr">
        <is>
          <t>1st ed.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HV </t>
        </is>
      </c>
      <c r="S593" t="n">
        <v>6</v>
      </c>
      <c r="T593" t="n">
        <v>6</v>
      </c>
      <c r="U593" t="inlineStr">
        <is>
          <t>2007-12-10</t>
        </is>
      </c>
      <c r="V593" t="inlineStr">
        <is>
          <t>2007-12-10</t>
        </is>
      </c>
      <c r="W593" t="inlineStr">
        <is>
          <t>2004-08-26</t>
        </is>
      </c>
      <c r="X593" t="inlineStr">
        <is>
          <t>2004-08-26</t>
        </is>
      </c>
      <c r="Y593" t="n">
        <v>1135</v>
      </c>
      <c r="Z593" t="n">
        <v>1046</v>
      </c>
      <c r="AA593" t="n">
        <v>1161</v>
      </c>
      <c r="AB593" t="n">
        <v>8</v>
      </c>
      <c r="AC593" t="n">
        <v>12</v>
      </c>
      <c r="AD593" t="n">
        <v>31</v>
      </c>
      <c r="AE593" t="n">
        <v>37</v>
      </c>
      <c r="AF593" t="n">
        <v>12</v>
      </c>
      <c r="AG593" t="n">
        <v>14</v>
      </c>
      <c r="AH593" t="n">
        <v>5</v>
      </c>
      <c r="AI593" t="n">
        <v>7</v>
      </c>
      <c r="AJ593" t="n">
        <v>15</v>
      </c>
      <c r="AK593" t="n">
        <v>16</v>
      </c>
      <c r="AL593" t="n">
        <v>4</v>
      </c>
      <c r="AM593" t="n">
        <v>5</v>
      </c>
      <c r="AN593" t="n">
        <v>2</v>
      </c>
      <c r="AO593" t="n">
        <v>2</v>
      </c>
      <c r="AP593" t="inlineStr">
        <is>
          <t>No</t>
        </is>
      </c>
      <c r="AQ593" t="inlineStr">
        <is>
          <t>No</t>
        </is>
      </c>
      <c r="AS593">
        <f>HYPERLINK("https://creighton-primo.hosted.exlibrisgroup.com/primo-explore/search?tab=default_tab&amp;search_scope=EVERYTHING&amp;vid=01CRU&amp;lang=en_US&amp;offset=0&amp;query=any,contains,991004344459702656","Catalog Record")</f>
        <v/>
      </c>
      <c r="AT593">
        <f>HYPERLINK("http://www.worldcat.org/oclc/54865179","WorldCat Record")</f>
        <v/>
      </c>
      <c r="AU593" t="inlineStr">
        <is>
          <t>3943721614:eng</t>
        </is>
      </c>
      <c r="AV593" t="inlineStr">
        <is>
          <t>54865179</t>
        </is>
      </c>
      <c r="AW593" t="inlineStr">
        <is>
          <t>991004344459702656</t>
        </is>
      </c>
      <c r="AX593" t="inlineStr">
        <is>
          <t>991004344459702656</t>
        </is>
      </c>
      <c r="AY593" t="inlineStr">
        <is>
          <t>2256066020002656</t>
        </is>
      </c>
      <c r="AZ593" t="inlineStr">
        <is>
          <t>BOOK</t>
        </is>
      </c>
      <c r="BB593" t="inlineStr">
        <is>
          <t>9780805076516</t>
        </is>
      </c>
      <c r="BC593" t="inlineStr">
        <is>
          <t>32285004983390</t>
        </is>
      </c>
      <c r="BD593" t="inlineStr">
        <is>
          <t>893325256</t>
        </is>
      </c>
    </row>
    <row r="594">
      <c r="A594" t="inlineStr">
        <is>
          <t>No</t>
        </is>
      </c>
      <c r="B594" t="inlineStr">
        <is>
          <t>HV6432 .A76 1997</t>
        </is>
      </c>
      <c r="C594" t="inlineStr">
        <is>
          <t>0                      HV 6432000A  76          1997</t>
        </is>
      </c>
      <c r="D594" t="inlineStr">
        <is>
          <t>Ecoterror : the violent agenda to save nature : the world of the Unabomber / Ron Arnold.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Arnold, Ron.</t>
        </is>
      </c>
      <c r="L594" t="inlineStr">
        <is>
          <t>Bellevue, Wash. : Free Enterprise Press : Distributed by Merril Press, 1997.</t>
        </is>
      </c>
      <c r="M594" t="inlineStr">
        <is>
          <t>1997</t>
        </is>
      </c>
      <c r="N594" t="inlineStr">
        <is>
          <t>1st ed.</t>
        </is>
      </c>
      <c r="O594" t="inlineStr">
        <is>
          <t>eng</t>
        </is>
      </c>
      <c r="P594" t="inlineStr">
        <is>
          <t>wau</t>
        </is>
      </c>
      <c r="R594" t="inlineStr">
        <is>
          <t xml:space="preserve">HV </t>
        </is>
      </c>
      <c r="S594" t="n">
        <v>2</v>
      </c>
      <c r="T594" t="n">
        <v>2</v>
      </c>
      <c r="U594" t="inlineStr">
        <is>
          <t>2010-09-08</t>
        </is>
      </c>
      <c r="V594" t="inlineStr">
        <is>
          <t>2010-09-08</t>
        </is>
      </c>
      <c r="W594" t="inlineStr">
        <is>
          <t>2007-05-16</t>
        </is>
      </c>
      <c r="X594" t="inlineStr">
        <is>
          <t>2007-05-16</t>
        </is>
      </c>
      <c r="Y594" t="n">
        <v>93</v>
      </c>
      <c r="Z594" t="n">
        <v>81</v>
      </c>
      <c r="AA594" t="n">
        <v>81</v>
      </c>
      <c r="AB594" t="n">
        <v>1</v>
      </c>
      <c r="AC594" t="n">
        <v>1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0</v>
      </c>
      <c r="AM594" t="n">
        <v>0</v>
      </c>
      <c r="AN594" t="n">
        <v>0</v>
      </c>
      <c r="AO594" t="n">
        <v>0</v>
      </c>
      <c r="AP594" t="inlineStr">
        <is>
          <t>No</t>
        </is>
      </c>
      <c r="AQ594" t="inlineStr">
        <is>
          <t>No</t>
        </is>
      </c>
      <c r="AS594">
        <f>HYPERLINK("https://creighton-primo.hosted.exlibrisgroup.com/primo-explore/search?tab=default_tab&amp;search_scope=EVERYTHING&amp;vid=01CRU&amp;lang=en_US&amp;offset=0&amp;query=any,contains,991005081249702656","Catalog Record")</f>
        <v/>
      </c>
      <c r="AT594">
        <f>HYPERLINK("http://www.worldcat.org/oclc/36330925","WorldCat Record")</f>
        <v/>
      </c>
      <c r="AU594" t="inlineStr">
        <is>
          <t>436041475:eng</t>
        </is>
      </c>
      <c r="AV594" t="inlineStr">
        <is>
          <t>36330925</t>
        </is>
      </c>
      <c r="AW594" t="inlineStr">
        <is>
          <t>991005081249702656</t>
        </is>
      </c>
      <c r="AX594" t="inlineStr">
        <is>
          <t>991005081249702656</t>
        </is>
      </c>
      <c r="AY594" t="inlineStr">
        <is>
          <t>2272183960002656</t>
        </is>
      </c>
      <c r="AZ594" t="inlineStr">
        <is>
          <t>BOOK</t>
        </is>
      </c>
      <c r="BB594" t="inlineStr">
        <is>
          <t>9780939571185</t>
        </is>
      </c>
      <c r="BC594" t="inlineStr">
        <is>
          <t>32285005313373</t>
        </is>
      </c>
      <c r="BD594" t="inlineStr">
        <is>
          <t>893701002</t>
        </is>
      </c>
    </row>
    <row r="595">
      <c r="A595" t="inlineStr">
        <is>
          <t>No</t>
        </is>
      </c>
      <c r="B595" t="inlineStr">
        <is>
          <t>HV6432 .B38 1992</t>
        </is>
      </c>
      <c r="C595" t="inlineStr">
        <is>
          <t>0                      HV 6432000B  38          1992</t>
        </is>
      </c>
      <c r="D595" t="inlineStr">
        <is>
          <t>Rads : the 1970 bombing of the Army Math Research Center at the University of Wisconsin and its aftermath / Tom Bates.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Bates, Tom, 1944-1999.</t>
        </is>
      </c>
      <c r="L595" t="inlineStr">
        <is>
          <t>New York : HarperCollins Publishers, c1992.</t>
        </is>
      </c>
      <c r="M595" t="inlineStr">
        <is>
          <t>1992</t>
        </is>
      </c>
      <c r="N595" t="inlineStr">
        <is>
          <t>1st ed.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HV </t>
        </is>
      </c>
      <c r="S595" t="n">
        <v>3</v>
      </c>
      <c r="T595" t="n">
        <v>3</v>
      </c>
      <c r="U595" t="inlineStr">
        <is>
          <t>2005-05-03</t>
        </is>
      </c>
      <c r="V595" t="inlineStr">
        <is>
          <t>2005-05-03</t>
        </is>
      </c>
      <c r="W595" t="inlineStr">
        <is>
          <t>1995-01-18</t>
        </is>
      </c>
      <c r="X595" t="inlineStr">
        <is>
          <t>1995-01-18</t>
        </is>
      </c>
      <c r="Y595" t="n">
        <v>510</v>
      </c>
      <c r="Z595" t="n">
        <v>492</v>
      </c>
      <c r="AA595" t="n">
        <v>494</v>
      </c>
      <c r="AB595" t="n">
        <v>3</v>
      </c>
      <c r="AC595" t="n">
        <v>3</v>
      </c>
      <c r="AD595" t="n">
        <v>19</v>
      </c>
      <c r="AE595" t="n">
        <v>19</v>
      </c>
      <c r="AF595" t="n">
        <v>5</v>
      </c>
      <c r="AG595" t="n">
        <v>5</v>
      </c>
      <c r="AH595" t="n">
        <v>4</v>
      </c>
      <c r="AI595" t="n">
        <v>4</v>
      </c>
      <c r="AJ595" t="n">
        <v>10</v>
      </c>
      <c r="AK595" t="n">
        <v>10</v>
      </c>
      <c r="AL595" t="n">
        <v>2</v>
      </c>
      <c r="AM595" t="n">
        <v>2</v>
      </c>
      <c r="AN595" t="n">
        <v>3</v>
      </c>
      <c r="AO595" t="n">
        <v>3</v>
      </c>
      <c r="AP595" t="inlineStr">
        <is>
          <t>No</t>
        </is>
      </c>
      <c r="AQ595" t="inlineStr">
        <is>
          <t>No</t>
        </is>
      </c>
      <c r="AS595">
        <f>HYPERLINK("https://creighton-primo.hosted.exlibrisgroup.com/primo-explore/search?tab=default_tab&amp;search_scope=EVERYTHING&amp;vid=01CRU&amp;lang=en_US&amp;offset=0&amp;query=any,contains,991002033199702656","Catalog Record")</f>
        <v/>
      </c>
      <c r="AT595">
        <f>HYPERLINK("http://www.worldcat.org/oclc/25877034","WorldCat Record")</f>
        <v/>
      </c>
      <c r="AU595" t="inlineStr">
        <is>
          <t>776699315:eng</t>
        </is>
      </c>
      <c r="AV595" t="inlineStr">
        <is>
          <t>25877034</t>
        </is>
      </c>
      <c r="AW595" t="inlineStr">
        <is>
          <t>991002033199702656</t>
        </is>
      </c>
      <c r="AX595" t="inlineStr">
        <is>
          <t>991002033199702656</t>
        </is>
      </c>
      <c r="AY595" t="inlineStr">
        <is>
          <t>2268427480002656</t>
        </is>
      </c>
      <c r="AZ595" t="inlineStr">
        <is>
          <t>BOOK</t>
        </is>
      </c>
      <c r="BB595" t="inlineStr">
        <is>
          <t>9780060167547</t>
        </is>
      </c>
      <c r="BC595" t="inlineStr">
        <is>
          <t>32285001993616</t>
        </is>
      </c>
      <c r="BD595" t="inlineStr">
        <is>
          <t>893414748</t>
        </is>
      </c>
    </row>
    <row r="596">
      <c r="A596" t="inlineStr">
        <is>
          <t>No</t>
        </is>
      </c>
      <c r="B596" t="inlineStr">
        <is>
          <t>HV6432 .C363 2007</t>
        </is>
      </c>
      <c r="C596" t="inlineStr">
        <is>
          <t>0                      HV 6432000C  363         2007</t>
        </is>
      </c>
      <c r="D596" t="inlineStr">
        <is>
          <t>The state and terrorism : national security and the mobilization of power / Joseph H. Campos II.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Campos, Joseph H.</t>
        </is>
      </c>
      <c r="L596" t="inlineStr">
        <is>
          <t>Aldershot, Hants, England ; Burlington, VT : Ashgate, c2007.</t>
        </is>
      </c>
      <c r="M596" t="inlineStr">
        <is>
          <t>2007</t>
        </is>
      </c>
      <c r="O596" t="inlineStr">
        <is>
          <t>eng</t>
        </is>
      </c>
      <c r="P596" t="inlineStr">
        <is>
          <t>enk</t>
        </is>
      </c>
      <c r="Q596" t="inlineStr">
        <is>
          <t>Homeland security series</t>
        </is>
      </c>
      <c r="R596" t="inlineStr">
        <is>
          <t xml:space="preserve">HV </t>
        </is>
      </c>
      <c r="S596" t="n">
        <v>1</v>
      </c>
      <c r="T596" t="n">
        <v>1</v>
      </c>
      <c r="U596" t="inlineStr">
        <is>
          <t>2008-10-07</t>
        </is>
      </c>
      <c r="V596" t="inlineStr">
        <is>
          <t>2008-10-07</t>
        </is>
      </c>
      <c r="W596" t="inlineStr">
        <is>
          <t>2008-10-07</t>
        </is>
      </c>
      <c r="X596" t="inlineStr">
        <is>
          <t>2008-10-07</t>
        </is>
      </c>
      <c r="Y596" t="n">
        <v>197</v>
      </c>
      <c r="Z596" t="n">
        <v>132</v>
      </c>
      <c r="AA596" t="n">
        <v>488</v>
      </c>
      <c r="AB596" t="n">
        <v>1</v>
      </c>
      <c r="AC596" t="n">
        <v>3</v>
      </c>
      <c r="AD596" t="n">
        <v>6</v>
      </c>
      <c r="AE596" t="n">
        <v>9</v>
      </c>
      <c r="AF596" t="n">
        <v>2</v>
      </c>
      <c r="AG596" t="n">
        <v>3</v>
      </c>
      <c r="AH596" t="n">
        <v>2</v>
      </c>
      <c r="AI596" t="n">
        <v>2</v>
      </c>
      <c r="AJ596" t="n">
        <v>3</v>
      </c>
      <c r="AK596" t="n">
        <v>4</v>
      </c>
      <c r="AL596" t="n">
        <v>0</v>
      </c>
      <c r="AM596" t="n">
        <v>2</v>
      </c>
      <c r="AN596" t="n">
        <v>1</v>
      </c>
      <c r="AO596" t="n">
        <v>1</v>
      </c>
      <c r="AP596" t="inlineStr">
        <is>
          <t>No</t>
        </is>
      </c>
      <c r="AQ596" t="inlineStr">
        <is>
          <t>No</t>
        </is>
      </c>
      <c r="AS596">
        <f>HYPERLINK("https://creighton-primo.hosted.exlibrisgroup.com/primo-explore/search?tab=default_tab&amp;search_scope=EVERYTHING&amp;vid=01CRU&amp;lang=en_US&amp;offset=0&amp;query=any,contains,991005270269702656","Catalog Record")</f>
        <v/>
      </c>
      <c r="AT596">
        <f>HYPERLINK("http://www.worldcat.org/oclc/85833385","WorldCat Record")</f>
        <v/>
      </c>
      <c r="AU596" t="inlineStr">
        <is>
          <t>800854678:eng</t>
        </is>
      </c>
      <c r="AV596" t="inlineStr">
        <is>
          <t>85833385</t>
        </is>
      </c>
      <c r="AW596" t="inlineStr">
        <is>
          <t>991005270269702656</t>
        </is>
      </c>
      <c r="AX596" t="inlineStr">
        <is>
          <t>991005270269702656</t>
        </is>
      </c>
      <c r="AY596" t="inlineStr">
        <is>
          <t>2266216620002656</t>
        </is>
      </c>
      <c r="AZ596" t="inlineStr">
        <is>
          <t>BOOK</t>
        </is>
      </c>
      <c r="BB596" t="inlineStr">
        <is>
          <t>9780754671923</t>
        </is>
      </c>
      <c r="BC596" t="inlineStr">
        <is>
          <t>32285005461537</t>
        </is>
      </c>
      <c r="BD596" t="inlineStr">
        <is>
          <t>893808111</t>
        </is>
      </c>
    </row>
    <row r="597">
      <c r="A597" t="inlineStr">
        <is>
          <t>No</t>
        </is>
      </c>
      <c r="B597" t="inlineStr">
        <is>
          <t>HV6432 .C53 2004</t>
        </is>
      </c>
      <c r="C597" t="inlineStr">
        <is>
          <t>0                      HV 6432000C  53          2004</t>
        </is>
      </c>
      <c r="D597" t="inlineStr">
        <is>
          <t>Against all enemies : inside America's war on terror / Richard A. Clarke.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Clarke, Richard A. (Richard Alan), 1951-</t>
        </is>
      </c>
      <c r="L597" t="inlineStr">
        <is>
          <t>New York : Free Press, c2004.</t>
        </is>
      </c>
      <c r="M597" t="inlineStr">
        <is>
          <t>2004</t>
        </is>
      </c>
      <c r="O597" t="inlineStr">
        <is>
          <t>eng</t>
        </is>
      </c>
      <c r="P597" t="inlineStr">
        <is>
          <t>nyu</t>
        </is>
      </c>
      <c r="R597" t="inlineStr">
        <is>
          <t xml:space="preserve">HV </t>
        </is>
      </c>
      <c r="S597" t="n">
        <v>10</v>
      </c>
      <c r="T597" t="n">
        <v>10</v>
      </c>
      <c r="U597" t="inlineStr">
        <is>
          <t>2010-10-02</t>
        </is>
      </c>
      <c r="V597" t="inlineStr">
        <is>
          <t>2010-10-02</t>
        </is>
      </c>
      <c r="W597" t="inlineStr">
        <is>
          <t>2004-05-10</t>
        </is>
      </c>
      <c r="X597" t="inlineStr">
        <is>
          <t>2004-05-10</t>
        </is>
      </c>
      <c r="Y597" t="n">
        <v>3054</v>
      </c>
      <c r="Z597" t="n">
        <v>2765</v>
      </c>
      <c r="AA597" t="n">
        <v>3016</v>
      </c>
      <c r="AB597" t="n">
        <v>25</v>
      </c>
      <c r="AC597" t="n">
        <v>26</v>
      </c>
      <c r="AD597" t="n">
        <v>54</v>
      </c>
      <c r="AE597" t="n">
        <v>55</v>
      </c>
      <c r="AF597" t="n">
        <v>22</v>
      </c>
      <c r="AG597" t="n">
        <v>23</v>
      </c>
      <c r="AH597" t="n">
        <v>8</v>
      </c>
      <c r="AI597" t="n">
        <v>8</v>
      </c>
      <c r="AJ597" t="n">
        <v>21</v>
      </c>
      <c r="AK597" t="n">
        <v>21</v>
      </c>
      <c r="AL597" t="n">
        <v>9</v>
      </c>
      <c r="AM597" t="n">
        <v>9</v>
      </c>
      <c r="AN597" t="n">
        <v>6</v>
      </c>
      <c r="AO597" t="n">
        <v>6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HYPERLINK("https://creighton-primo.hosted.exlibrisgroup.com/primo-explore/search?tab=default_tab&amp;search_scope=EVERYTHING&amp;vid=01CRU&amp;lang=en_US&amp;offset=0&amp;query=any,contains,991004289659702656","Catalog Record")</f>
        <v/>
      </c>
      <c r="AT597">
        <f>HYPERLINK("http://www.worldcat.org/oclc/54534078","WorldCat Record")</f>
        <v/>
      </c>
      <c r="AU597" t="inlineStr">
        <is>
          <t>875899517:eng</t>
        </is>
      </c>
      <c r="AV597" t="inlineStr">
        <is>
          <t>54534078</t>
        </is>
      </c>
      <c r="AW597" t="inlineStr">
        <is>
          <t>991004289659702656</t>
        </is>
      </c>
      <c r="AX597" t="inlineStr">
        <is>
          <t>991004289659702656</t>
        </is>
      </c>
      <c r="AY597" t="inlineStr">
        <is>
          <t>2254774140002656</t>
        </is>
      </c>
      <c r="AZ597" t="inlineStr">
        <is>
          <t>BOOK</t>
        </is>
      </c>
      <c r="BB597" t="inlineStr">
        <is>
          <t>9780743260244</t>
        </is>
      </c>
      <c r="BC597" t="inlineStr">
        <is>
          <t>32285004904248</t>
        </is>
      </c>
      <c r="BD597" t="inlineStr">
        <is>
          <t>893775858</t>
        </is>
      </c>
    </row>
    <row r="598">
      <c r="A598" t="inlineStr">
        <is>
          <t>No</t>
        </is>
      </c>
      <c r="B598" t="inlineStr">
        <is>
          <t>HV6432 .C62 2007</t>
        </is>
      </c>
      <c r="C598" t="inlineStr">
        <is>
          <t>0                      HV 6432000C  62          2007</t>
        </is>
      </c>
      <c r="D598" t="inlineStr">
        <is>
          <t>Less safe, less free : why America is losing the War on Terror / David Cole and Jules Lobel.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Cole, David, 1958-</t>
        </is>
      </c>
      <c r="L598" t="inlineStr">
        <is>
          <t>New York : New Press : Distributed by Norton, 2007.</t>
        </is>
      </c>
      <c r="M598" t="inlineStr">
        <is>
          <t>2007</t>
        </is>
      </c>
      <c r="O598" t="inlineStr">
        <is>
          <t>eng</t>
        </is>
      </c>
      <c r="P598" t="inlineStr">
        <is>
          <t>nyu</t>
        </is>
      </c>
      <c r="R598" t="inlineStr">
        <is>
          <t xml:space="preserve">HV </t>
        </is>
      </c>
      <c r="S598" t="n">
        <v>1</v>
      </c>
      <c r="T598" t="n">
        <v>1</v>
      </c>
      <c r="U598" t="inlineStr">
        <is>
          <t>2008-10-07</t>
        </is>
      </c>
      <c r="V598" t="inlineStr">
        <is>
          <t>2008-10-07</t>
        </is>
      </c>
      <c r="W598" t="inlineStr">
        <is>
          <t>2008-10-07</t>
        </is>
      </c>
      <c r="X598" t="inlineStr">
        <is>
          <t>2008-10-07</t>
        </is>
      </c>
      <c r="Y598" t="n">
        <v>768</v>
      </c>
      <c r="Z598" t="n">
        <v>713</v>
      </c>
      <c r="AA598" t="n">
        <v>723</v>
      </c>
      <c r="AB598" t="n">
        <v>6</v>
      </c>
      <c r="AC598" t="n">
        <v>6</v>
      </c>
      <c r="AD598" t="n">
        <v>29</v>
      </c>
      <c r="AE598" t="n">
        <v>30</v>
      </c>
      <c r="AF598" t="n">
        <v>12</v>
      </c>
      <c r="AG598" t="n">
        <v>12</v>
      </c>
      <c r="AH598" t="n">
        <v>2</v>
      </c>
      <c r="AI598" t="n">
        <v>2</v>
      </c>
      <c r="AJ598" t="n">
        <v>14</v>
      </c>
      <c r="AK598" t="n">
        <v>15</v>
      </c>
      <c r="AL598" t="n">
        <v>4</v>
      </c>
      <c r="AM598" t="n">
        <v>4</v>
      </c>
      <c r="AN598" t="n">
        <v>5</v>
      </c>
      <c r="AO598" t="n">
        <v>5</v>
      </c>
      <c r="AP598" t="inlineStr">
        <is>
          <t>No</t>
        </is>
      </c>
      <c r="AQ598" t="inlineStr">
        <is>
          <t>No</t>
        </is>
      </c>
      <c r="AS598">
        <f>HYPERLINK("https://creighton-primo.hosted.exlibrisgroup.com/primo-explore/search?tab=default_tab&amp;search_scope=EVERYTHING&amp;vid=01CRU&amp;lang=en_US&amp;offset=0&amp;query=any,contains,991005270249702656","Catalog Record")</f>
        <v/>
      </c>
      <c r="AT598">
        <f>HYPERLINK("http://www.worldcat.org/oclc/79003580","WorldCat Record")</f>
        <v/>
      </c>
      <c r="AU598" t="inlineStr">
        <is>
          <t>796485518:eng</t>
        </is>
      </c>
      <c r="AV598" t="inlineStr">
        <is>
          <t>79003580</t>
        </is>
      </c>
      <c r="AW598" t="inlineStr">
        <is>
          <t>991005270249702656</t>
        </is>
      </c>
      <c r="AX598" t="inlineStr">
        <is>
          <t>991005270249702656</t>
        </is>
      </c>
      <c r="AY598" t="inlineStr">
        <is>
          <t>2269141960002656</t>
        </is>
      </c>
      <c r="AZ598" t="inlineStr">
        <is>
          <t>BOOK</t>
        </is>
      </c>
      <c r="BB598" t="inlineStr">
        <is>
          <t>9781595581334</t>
        </is>
      </c>
      <c r="BC598" t="inlineStr">
        <is>
          <t>32285005461628</t>
        </is>
      </c>
      <c r="BD598" t="inlineStr">
        <is>
          <t>893320353</t>
        </is>
      </c>
    </row>
    <row r="599">
      <c r="A599" t="inlineStr">
        <is>
          <t>No</t>
        </is>
      </c>
      <c r="B599" t="inlineStr">
        <is>
          <t>HV6432 .C63 2003</t>
        </is>
      </c>
      <c r="C599" t="inlineStr">
        <is>
          <t>0                      HV 6432000C  63          2003</t>
        </is>
      </c>
      <c r="D599" t="inlineStr">
        <is>
          <t>The anthrax letters : a medical detective story / Leonard A. Cole.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Cole, Leonard A., 1933-</t>
        </is>
      </c>
      <c r="L599" t="inlineStr">
        <is>
          <t>Washington, D.C. : Joseph Henry Press, c2003.</t>
        </is>
      </c>
      <c r="M599" t="inlineStr">
        <is>
          <t>2003</t>
        </is>
      </c>
      <c r="O599" t="inlineStr">
        <is>
          <t>eng</t>
        </is>
      </c>
      <c r="P599" t="inlineStr">
        <is>
          <t>dcu</t>
        </is>
      </c>
      <c r="R599" t="inlineStr">
        <is>
          <t xml:space="preserve">HV </t>
        </is>
      </c>
      <c r="S599" t="n">
        <v>4</v>
      </c>
      <c r="T599" t="n">
        <v>4</v>
      </c>
      <c r="U599" t="inlineStr">
        <is>
          <t>2008-11-24</t>
        </is>
      </c>
      <c r="V599" t="inlineStr">
        <is>
          <t>2008-11-24</t>
        </is>
      </c>
      <c r="W599" t="inlineStr">
        <is>
          <t>2004-01-06</t>
        </is>
      </c>
      <c r="X599" t="inlineStr">
        <is>
          <t>2004-01-06</t>
        </is>
      </c>
      <c r="Y599" t="n">
        <v>773</v>
      </c>
      <c r="Z599" t="n">
        <v>725</v>
      </c>
      <c r="AA599" t="n">
        <v>1648</v>
      </c>
      <c r="AB599" t="n">
        <v>8</v>
      </c>
      <c r="AC599" t="n">
        <v>32</v>
      </c>
      <c r="AD599" t="n">
        <v>15</v>
      </c>
      <c r="AE599" t="n">
        <v>35</v>
      </c>
      <c r="AF599" t="n">
        <v>2</v>
      </c>
      <c r="AG599" t="n">
        <v>8</v>
      </c>
      <c r="AH599" t="n">
        <v>4</v>
      </c>
      <c r="AI599" t="n">
        <v>5</v>
      </c>
      <c r="AJ599" t="n">
        <v>7</v>
      </c>
      <c r="AK599" t="n">
        <v>11</v>
      </c>
      <c r="AL599" t="n">
        <v>3</v>
      </c>
      <c r="AM599" t="n">
        <v>14</v>
      </c>
      <c r="AN599" t="n">
        <v>2</v>
      </c>
      <c r="AO599" t="n">
        <v>2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HYPERLINK("https://creighton-primo.hosted.exlibrisgroup.com/primo-explore/search?tab=default_tab&amp;search_scope=EVERYTHING&amp;vid=01CRU&amp;lang=en_US&amp;offset=0&amp;query=any,contains,991004185789702656","Catalog Record")</f>
        <v/>
      </c>
      <c r="AT599">
        <f>HYPERLINK("http://www.worldcat.org/oclc/52575719","WorldCat Record")</f>
        <v/>
      </c>
      <c r="AU599" t="inlineStr">
        <is>
          <t>793907002:eng</t>
        </is>
      </c>
      <c r="AV599" t="inlineStr">
        <is>
          <t>52575719</t>
        </is>
      </c>
      <c r="AW599" t="inlineStr">
        <is>
          <t>991004185789702656</t>
        </is>
      </c>
      <c r="AX599" t="inlineStr">
        <is>
          <t>991004185789702656</t>
        </is>
      </c>
      <c r="AY599" t="inlineStr">
        <is>
          <t>2258154670002656</t>
        </is>
      </c>
      <c r="AZ599" t="inlineStr">
        <is>
          <t>BOOK</t>
        </is>
      </c>
      <c r="BB599" t="inlineStr">
        <is>
          <t>9780309088817</t>
        </is>
      </c>
      <c r="BC599" t="inlineStr">
        <is>
          <t>32285004849138</t>
        </is>
      </c>
      <c r="BD599" t="inlineStr">
        <is>
          <t>893349714</t>
        </is>
      </c>
    </row>
    <row r="600">
      <c r="A600" t="inlineStr">
        <is>
          <t>No</t>
        </is>
      </c>
      <c r="B600" t="inlineStr">
        <is>
          <t>HV6432 .E98 2004</t>
        </is>
      </c>
      <c r="C600" t="inlineStr">
        <is>
          <t>0                      HV 6432000E  98          2004</t>
        </is>
      </c>
      <c r="D600" t="inlineStr">
        <is>
          <t>This man's army : a soldier's story from the front lines of the war on terrorism / Andrew Exum.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Exum, Andrew.</t>
        </is>
      </c>
      <c r="L600" t="inlineStr">
        <is>
          <t>New York : Gotham books, c2004.</t>
        </is>
      </c>
      <c r="M600" t="inlineStr">
        <is>
          <t>2004</t>
        </is>
      </c>
      <c r="O600" t="inlineStr">
        <is>
          <t>eng</t>
        </is>
      </c>
      <c r="P600" t="inlineStr">
        <is>
          <t>nyu</t>
        </is>
      </c>
      <c r="R600" t="inlineStr">
        <is>
          <t xml:space="preserve">HV </t>
        </is>
      </c>
      <c r="S600" t="n">
        <v>3</v>
      </c>
      <c r="T600" t="n">
        <v>3</v>
      </c>
      <c r="U600" t="inlineStr">
        <is>
          <t>2010-10-02</t>
        </is>
      </c>
      <c r="V600" t="inlineStr">
        <is>
          <t>2010-10-02</t>
        </is>
      </c>
      <c r="W600" t="inlineStr">
        <is>
          <t>2004-06-23</t>
        </is>
      </c>
      <c r="X600" t="inlineStr">
        <is>
          <t>2004-06-23</t>
        </is>
      </c>
      <c r="Y600" t="n">
        <v>710</v>
      </c>
      <c r="Z600" t="n">
        <v>685</v>
      </c>
      <c r="AA600" t="n">
        <v>1142</v>
      </c>
      <c r="AB600" t="n">
        <v>8</v>
      </c>
      <c r="AC600" t="n">
        <v>34</v>
      </c>
      <c r="AD600" t="n">
        <v>13</v>
      </c>
      <c r="AE600" t="n">
        <v>24</v>
      </c>
      <c r="AF600" t="n">
        <v>4</v>
      </c>
      <c r="AG600" t="n">
        <v>7</v>
      </c>
      <c r="AH600" t="n">
        <v>2</v>
      </c>
      <c r="AI600" t="n">
        <v>2</v>
      </c>
      <c r="AJ600" t="n">
        <v>9</v>
      </c>
      <c r="AK600" t="n">
        <v>10</v>
      </c>
      <c r="AL600" t="n">
        <v>2</v>
      </c>
      <c r="AM600" t="n">
        <v>9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S600">
        <f>HYPERLINK("https://creighton-primo.hosted.exlibrisgroup.com/primo-explore/search?tab=default_tab&amp;search_scope=EVERYTHING&amp;vid=01CRU&amp;lang=en_US&amp;offset=0&amp;query=any,contains,991004286499702656","Catalog Record")</f>
        <v/>
      </c>
      <c r="AT600">
        <f>HYPERLINK("http://www.worldcat.org/oclc/55495392","WorldCat Record")</f>
        <v/>
      </c>
      <c r="AU600" t="inlineStr">
        <is>
          <t>801480311:eng</t>
        </is>
      </c>
      <c r="AV600" t="inlineStr">
        <is>
          <t>55495392</t>
        </is>
      </c>
      <c r="AW600" t="inlineStr">
        <is>
          <t>991004286499702656</t>
        </is>
      </c>
      <c r="AX600" t="inlineStr">
        <is>
          <t>991004286499702656</t>
        </is>
      </c>
      <c r="AY600" t="inlineStr">
        <is>
          <t>2263142450002656</t>
        </is>
      </c>
      <c r="AZ600" t="inlineStr">
        <is>
          <t>BOOK</t>
        </is>
      </c>
      <c r="BB600" t="inlineStr">
        <is>
          <t>9781592400638</t>
        </is>
      </c>
      <c r="BC600" t="inlineStr">
        <is>
          <t>32285004920715</t>
        </is>
      </c>
      <c r="BD600" t="inlineStr">
        <is>
          <t>893875915</t>
        </is>
      </c>
    </row>
    <row r="601">
      <c r="A601" t="inlineStr">
        <is>
          <t>No</t>
        </is>
      </c>
      <c r="B601" t="inlineStr">
        <is>
          <t>HV6432 .F746 2003</t>
        </is>
      </c>
      <c r="C601" t="inlineStr">
        <is>
          <t>0                      HV 6432000F  746         2003</t>
        </is>
      </c>
      <c r="D601" t="inlineStr">
        <is>
          <t>Terrorism, Afghanistan, and America's new way of war / Norman Friedman.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Friedman, Norman, 1946-</t>
        </is>
      </c>
      <c r="L601" t="inlineStr">
        <is>
          <t>Annapolis, Md. : Naval Institute Press, c2003.</t>
        </is>
      </c>
      <c r="M601" t="inlineStr">
        <is>
          <t>2003</t>
        </is>
      </c>
      <c r="O601" t="inlineStr">
        <is>
          <t>eng</t>
        </is>
      </c>
      <c r="P601" t="inlineStr">
        <is>
          <t>mdu</t>
        </is>
      </c>
      <c r="R601" t="inlineStr">
        <is>
          <t xml:space="preserve">HV </t>
        </is>
      </c>
      <c r="S601" t="n">
        <v>4</v>
      </c>
      <c r="T601" t="n">
        <v>4</v>
      </c>
      <c r="U601" t="inlineStr">
        <is>
          <t>2010-10-02</t>
        </is>
      </c>
      <c r="V601" t="inlineStr">
        <is>
          <t>2010-10-02</t>
        </is>
      </c>
      <c r="W601" t="inlineStr">
        <is>
          <t>2005-02-14</t>
        </is>
      </c>
      <c r="X601" t="inlineStr">
        <is>
          <t>2005-02-14</t>
        </is>
      </c>
      <c r="Y601" t="n">
        <v>453</v>
      </c>
      <c r="Z601" t="n">
        <v>383</v>
      </c>
      <c r="AA601" t="n">
        <v>389</v>
      </c>
      <c r="AB601" t="n">
        <v>2</v>
      </c>
      <c r="AC601" t="n">
        <v>2</v>
      </c>
      <c r="AD601" t="n">
        <v>16</v>
      </c>
      <c r="AE601" t="n">
        <v>16</v>
      </c>
      <c r="AF601" t="n">
        <v>4</v>
      </c>
      <c r="AG601" t="n">
        <v>4</v>
      </c>
      <c r="AH601" t="n">
        <v>5</v>
      </c>
      <c r="AI601" t="n">
        <v>5</v>
      </c>
      <c r="AJ601" t="n">
        <v>9</v>
      </c>
      <c r="AK601" t="n">
        <v>9</v>
      </c>
      <c r="AL601" t="n">
        <v>1</v>
      </c>
      <c r="AM601" t="n">
        <v>1</v>
      </c>
      <c r="AN601" t="n">
        <v>3</v>
      </c>
      <c r="AO601" t="n">
        <v>3</v>
      </c>
      <c r="AP601" t="inlineStr">
        <is>
          <t>No</t>
        </is>
      </c>
      <c r="AQ601" t="inlineStr">
        <is>
          <t>No</t>
        </is>
      </c>
      <c r="AS601">
        <f>HYPERLINK("https://creighton-primo.hosted.exlibrisgroup.com/primo-explore/search?tab=default_tab&amp;search_scope=EVERYTHING&amp;vid=01CRU&amp;lang=en_US&amp;offset=0&amp;query=any,contains,991004461959702656","Catalog Record")</f>
        <v/>
      </c>
      <c r="AT601">
        <f>HYPERLINK("http://www.worldcat.org/oclc/51446753","WorldCat Record")</f>
        <v/>
      </c>
      <c r="AU601" t="inlineStr">
        <is>
          <t>807961:eng</t>
        </is>
      </c>
      <c r="AV601" t="inlineStr">
        <is>
          <t>51446753</t>
        </is>
      </c>
      <c r="AW601" t="inlineStr">
        <is>
          <t>991004461959702656</t>
        </is>
      </c>
      <c r="AX601" t="inlineStr">
        <is>
          <t>991004461959702656</t>
        </is>
      </c>
      <c r="AY601" t="inlineStr">
        <is>
          <t>2264017950002656</t>
        </is>
      </c>
      <c r="AZ601" t="inlineStr">
        <is>
          <t>BOOK</t>
        </is>
      </c>
      <c r="BB601" t="inlineStr">
        <is>
          <t>9781591142904</t>
        </is>
      </c>
      <c r="BC601" t="inlineStr">
        <is>
          <t>32285005026165</t>
        </is>
      </c>
      <c r="BD601" t="inlineStr">
        <is>
          <t>893606055</t>
        </is>
      </c>
    </row>
    <row r="602">
      <c r="A602" t="inlineStr">
        <is>
          <t>No</t>
        </is>
      </c>
      <c r="B602" t="inlineStr">
        <is>
          <t>HV6432 .F75 2002</t>
        </is>
      </c>
      <c r="C602" t="inlineStr">
        <is>
          <t>0                      HV 6432000F  75          2002</t>
        </is>
      </c>
      <c r="D602" t="inlineStr">
        <is>
          <t>Longitudes and attitudes : exploring the world after September 11 / Thomas L. Friedman.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Friedman, Thomas L.</t>
        </is>
      </c>
      <c r="L602" t="inlineStr">
        <is>
          <t>New York : Farrar, Straus, Giroux, 2002.</t>
        </is>
      </c>
      <c r="M602" t="inlineStr">
        <is>
          <t>2002</t>
        </is>
      </c>
      <c r="N602" t="inlineStr">
        <is>
          <t>1st ed.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HV </t>
        </is>
      </c>
      <c r="S602" t="n">
        <v>52</v>
      </c>
      <c r="T602" t="n">
        <v>52</v>
      </c>
      <c r="U602" t="inlineStr">
        <is>
          <t>2006-09-05</t>
        </is>
      </c>
      <c r="V602" t="inlineStr">
        <is>
          <t>2006-09-05</t>
        </is>
      </c>
      <c r="W602" t="inlineStr">
        <is>
          <t>2002-09-11</t>
        </is>
      </c>
      <c r="X602" t="inlineStr">
        <is>
          <t>2002-09-11</t>
        </is>
      </c>
      <c r="Y602" t="n">
        <v>2410</v>
      </c>
      <c r="Z602" t="n">
        <v>2266</v>
      </c>
      <c r="AA602" t="n">
        <v>2378</v>
      </c>
      <c r="AB602" t="n">
        <v>23</v>
      </c>
      <c r="AC602" t="n">
        <v>25</v>
      </c>
      <c r="AD602" t="n">
        <v>45</v>
      </c>
      <c r="AE602" t="n">
        <v>46</v>
      </c>
      <c r="AF602" t="n">
        <v>20</v>
      </c>
      <c r="AG602" t="n">
        <v>20</v>
      </c>
      <c r="AH602" t="n">
        <v>9</v>
      </c>
      <c r="AI602" t="n">
        <v>9</v>
      </c>
      <c r="AJ602" t="n">
        <v>15</v>
      </c>
      <c r="AK602" t="n">
        <v>16</v>
      </c>
      <c r="AL602" t="n">
        <v>6</v>
      </c>
      <c r="AM602" t="n">
        <v>6</v>
      </c>
      <c r="AN602" t="n">
        <v>2</v>
      </c>
      <c r="AO602" t="n">
        <v>2</v>
      </c>
      <c r="AP602" t="inlineStr">
        <is>
          <t>No</t>
        </is>
      </c>
      <c r="AQ602" t="inlineStr">
        <is>
          <t>No</t>
        </is>
      </c>
      <c r="AS602">
        <f>HYPERLINK("https://creighton-primo.hosted.exlibrisgroup.com/primo-explore/search?tab=default_tab&amp;search_scope=EVERYTHING&amp;vid=01CRU&amp;lang=en_US&amp;offset=0&amp;query=any,contains,991003885879702656","Catalog Record")</f>
        <v/>
      </c>
      <c r="AT602">
        <f>HYPERLINK("http://www.worldcat.org/oclc/49952298","WorldCat Record")</f>
        <v/>
      </c>
      <c r="AU602" t="inlineStr">
        <is>
          <t>1007925:eng</t>
        </is>
      </c>
      <c r="AV602" t="inlineStr">
        <is>
          <t>49952298</t>
        </is>
      </c>
      <c r="AW602" t="inlineStr">
        <is>
          <t>991003885879702656</t>
        </is>
      </c>
      <c r="AX602" t="inlineStr">
        <is>
          <t>991003885879702656</t>
        </is>
      </c>
      <c r="AY602" t="inlineStr">
        <is>
          <t>2264691940002656</t>
        </is>
      </c>
      <c r="AZ602" t="inlineStr">
        <is>
          <t>BOOK</t>
        </is>
      </c>
      <c r="BB602" t="inlineStr">
        <is>
          <t>9780374190668</t>
        </is>
      </c>
      <c r="BC602" t="inlineStr">
        <is>
          <t>32285004648290</t>
        </is>
      </c>
      <c r="BD602" t="inlineStr">
        <is>
          <t>893423088</t>
        </is>
      </c>
    </row>
    <row r="603">
      <c r="A603" t="inlineStr">
        <is>
          <t>No</t>
        </is>
      </c>
      <c r="B603" t="inlineStr">
        <is>
          <t>HV6432 .H35 2002</t>
        </is>
      </c>
      <c r="C603" t="inlineStr">
        <is>
          <t>0                      HV 6432000H  35          2002</t>
        </is>
      </c>
      <c r="D603" t="inlineStr">
        <is>
          <t>Firehouse / David Halberstam.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Halberstam, David.</t>
        </is>
      </c>
      <c r="L603" t="inlineStr">
        <is>
          <t>New York : Hyperion, c2002.</t>
        </is>
      </c>
      <c r="M603" t="inlineStr">
        <is>
          <t>2002</t>
        </is>
      </c>
      <c r="N603" t="inlineStr">
        <is>
          <t>1st ed.</t>
        </is>
      </c>
      <c r="O603" t="inlineStr">
        <is>
          <t>eng</t>
        </is>
      </c>
      <c r="P603" t="inlineStr">
        <is>
          <t>nyu</t>
        </is>
      </c>
      <c r="R603" t="inlineStr">
        <is>
          <t xml:space="preserve">HV </t>
        </is>
      </c>
      <c r="S603" t="n">
        <v>2</v>
      </c>
      <c r="T603" t="n">
        <v>2</v>
      </c>
      <c r="U603" t="inlineStr">
        <is>
          <t>2002-07-08</t>
        </is>
      </c>
      <c r="V603" t="inlineStr">
        <is>
          <t>2002-07-08</t>
        </is>
      </c>
      <c r="W603" t="inlineStr">
        <is>
          <t>2002-06-27</t>
        </is>
      </c>
      <c r="X603" t="inlineStr">
        <is>
          <t>2002-06-27</t>
        </is>
      </c>
      <c r="Y603" t="n">
        <v>1947</v>
      </c>
      <c r="Z603" t="n">
        <v>1899</v>
      </c>
      <c r="AA603" t="n">
        <v>2043</v>
      </c>
      <c r="AB603" t="n">
        <v>32</v>
      </c>
      <c r="AC603" t="n">
        <v>33</v>
      </c>
      <c r="AD603" t="n">
        <v>30</v>
      </c>
      <c r="AE603" t="n">
        <v>31</v>
      </c>
      <c r="AF603" t="n">
        <v>11</v>
      </c>
      <c r="AG603" t="n">
        <v>11</v>
      </c>
      <c r="AH603" t="n">
        <v>5</v>
      </c>
      <c r="AI603" t="n">
        <v>5</v>
      </c>
      <c r="AJ603" t="n">
        <v>11</v>
      </c>
      <c r="AK603" t="n">
        <v>11</v>
      </c>
      <c r="AL603" t="n">
        <v>6</v>
      </c>
      <c r="AM603" t="n">
        <v>7</v>
      </c>
      <c r="AN603" t="n">
        <v>1</v>
      </c>
      <c r="AO603" t="n">
        <v>1</v>
      </c>
      <c r="AP603" t="inlineStr">
        <is>
          <t>No</t>
        </is>
      </c>
      <c r="AQ603" t="inlineStr">
        <is>
          <t>No</t>
        </is>
      </c>
      <c r="AS603">
        <f>HYPERLINK("https://creighton-primo.hosted.exlibrisgroup.com/primo-explore/search?tab=default_tab&amp;search_scope=EVERYTHING&amp;vid=01CRU&amp;lang=en_US&amp;offset=0&amp;query=any,contains,991003819589702656","Catalog Record")</f>
        <v/>
      </c>
      <c r="AT603">
        <f>HYPERLINK("http://www.worldcat.org/oclc/49763062","WorldCat Record")</f>
        <v/>
      </c>
      <c r="AU603" t="inlineStr">
        <is>
          <t>1151661137:eng</t>
        </is>
      </c>
      <c r="AV603" t="inlineStr">
        <is>
          <t>49763062</t>
        </is>
      </c>
      <c r="AW603" t="inlineStr">
        <is>
          <t>991003819589702656</t>
        </is>
      </c>
      <c r="AX603" t="inlineStr">
        <is>
          <t>991003819589702656</t>
        </is>
      </c>
      <c r="AY603" t="inlineStr">
        <is>
          <t>2255786790002656</t>
        </is>
      </c>
      <c r="AZ603" t="inlineStr">
        <is>
          <t>BOOK</t>
        </is>
      </c>
      <c r="BB603" t="inlineStr">
        <is>
          <t>9781401300050</t>
        </is>
      </c>
      <c r="BC603" t="inlineStr">
        <is>
          <t>32285004495957</t>
        </is>
      </c>
      <c r="BD603" t="inlineStr">
        <is>
          <t>893441788</t>
        </is>
      </c>
    </row>
    <row r="604">
      <c r="A604" t="inlineStr">
        <is>
          <t>No</t>
        </is>
      </c>
      <c r="B604" t="inlineStr">
        <is>
          <t>HV6432 .H355 2002</t>
        </is>
      </c>
      <c r="C604" t="inlineStr">
        <is>
          <t>0                      HV 6432000H  355         2002</t>
        </is>
      </c>
      <c r="D604" t="inlineStr">
        <is>
          <t>Two hours that shook the world : September 11, 2001 : causes and consequences / Fred Halliday.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Halliday, Fred.</t>
        </is>
      </c>
      <c r="L604" t="inlineStr">
        <is>
          <t>London : Saqi, 2002.</t>
        </is>
      </c>
      <c r="M604" t="inlineStr">
        <is>
          <t>2002</t>
        </is>
      </c>
      <c r="O604" t="inlineStr">
        <is>
          <t>eng</t>
        </is>
      </c>
      <c r="P604" t="inlineStr">
        <is>
          <t>enk</t>
        </is>
      </c>
      <c r="R604" t="inlineStr">
        <is>
          <t xml:space="preserve">HV </t>
        </is>
      </c>
      <c r="S604" t="n">
        <v>3</v>
      </c>
      <c r="T604" t="n">
        <v>3</v>
      </c>
      <c r="U604" t="inlineStr">
        <is>
          <t>2003-10-12</t>
        </is>
      </c>
      <c r="V604" t="inlineStr">
        <is>
          <t>2003-10-12</t>
        </is>
      </c>
      <c r="W604" t="inlineStr">
        <is>
          <t>2002-10-10</t>
        </is>
      </c>
      <c r="X604" t="inlineStr">
        <is>
          <t>2002-10-10</t>
        </is>
      </c>
      <c r="Y604" t="n">
        <v>663</v>
      </c>
      <c r="Z604" t="n">
        <v>547</v>
      </c>
      <c r="AA604" t="n">
        <v>710</v>
      </c>
      <c r="AB604" t="n">
        <v>5</v>
      </c>
      <c r="AC604" t="n">
        <v>6</v>
      </c>
      <c r="AD604" t="n">
        <v>27</v>
      </c>
      <c r="AE604" t="n">
        <v>34</v>
      </c>
      <c r="AF604" t="n">
        <v>12</v>
      </c>
      <c r="AG604" t="n">
        <v>14</v>
      </c>
      <c r="AH604" t="n">
        <v>5</v>
      </c>
      <c r="AI604" t="n">
        <v>8</v>
      </c>
      <c r="AJ604" t="n">
        <v>12</v>
      </c>
      <c r="AK604" t="n">
        <v>14</v>
      </c>
      <c r="AL604" t="n">
        <v>3</v>
      </c>
      <c r="AM604" t="n">
        <v>4</v>
      </c>
      <c r="AN604" t="n">
        <v>1</v>
      </c>
      <c r="AO604" t="n">
        <v>1</v>
      </c>
      <c r="AP604" t="inlineStr">
        <is>
          <t>No</t>
        </is>
      </c>
      <c r="AQ604" t="inlineStr">
        <is>
          <t>No</t>
        </is>
      </c>
      <c r="AS604">
        <f>HYPERLINK("https://creighton-primo.hosted.exlibrisgroup.com/primo-explore/search?tab=default_tab&amp;search_scope=EVERYTHING&amp;vid=01CRU&amp;lang=en_US&amp;offset=0&amp;query=any,contains,991003885089702656","Catalog Record")</f>
        <v/>
      </c>
      <c r="AT604">
        <f>HYPERLINK("http://www.worldcat.org/oclc/48194650","WorldCat Record")</f>
        <v/>
      </c>
      <c r="AU604" t="inlineStr">
        <is>
          <t>9054954:eng</t>
        </is>
      </c>
      <c r="AV604" t="inlineStr">
        <is>
          <t>48194650</t>
        </is>
      </c>
      <c r="AW604" t="inlineStr">
        <is>
          <t>991003885089702656</t>
        </is>
      </c>
      <c r="AX604" t="inlineStr">
        <is>
          <t>991003885089702656</t>
        </is>
      </c>
      <c r="AY604" t="inlineStr">
        <is>
          <t>2268384500002656</t>
        </is>
      </c>
      <c r="AZ604" t="inlineStr">
        <is>
          <t>BOOK</t>
        </is>
      </c>
      <c r="BB604" t="inlineStr">
        <is>
          <t>9780863563829</t>
        </is>
      </c>
      <c r="BC604" t="inlineStr">
        <is>
          <t>32285004654421</t>
        </is>
      </c>
      <c r="BD604" t="inlineStr">
        <is>
          <t>893894279</t>
        </is>
      </c>
    </row>
    <row r="605">
      <c r="A605" t="inlineStr">
        <is>
          <t>No</t>
        </is>
      </c>
      <c r="B605" t="inlineStr">
        <is>
          <t>HV6432 .H365 1997</t>
        </is>
      </c>
      <c r="C605" t="inlineStr">
        <is>
          <t>0                      HV 6432000H  365         1997</t>
        </is>
      </c>
      <c r="D605" t="inlineStr">
        <is>
          <t>Apocalypse in Oklahoma : Waco and Ruby Ridge revenged / Mark S. Hamm.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Hamm, Mark S.</t>
        </is>
      </c>
      <c r="L605" t="inlineStr">
        <is>
          <t>Boston : Northeastern University Press, c1997.</t>
        </is>
      </c>
      <c r="M605" t="inlineStr">
        <is>
          <t>1997</t>
        </is>
      </c>
      <c r="O605" t="inlineStr">
        <is>
          <t>eng</t>
        </is>
      </c>
      <c r="P605" t="inlineStr">
        <is>
          <t>mau</t>
        </is>
      </c>
      <c r="R605" t="inlineStr">
        <is>
          <t xml:space="preserve">HV </t>
        </is>
      </c>
      <c r="S605" t="n">
        <v>6</v>
      </c>
      <c r="T605" t="n">
        <v>6</v>
      </c>
      <c r="U605" t="inlineStr">
        <is>
          <t>2010-09-08</t>
        </is>
      </c>
      <c r="V605" t="inlineStr">
        <is>
          <t>2010-09-08</t>
        </is>
      </c>
      <c r="W605" t="inlineStr">
        <is>
          <t>1999-11-09</t>
        </is>
      </c>
      <c r="X605" t="inlineStr">
        <is>
          <t>1999-11-09</t>
        </is>
      </c>
      <c r="Y605" t="n">
        <v>880</v>
      </c>
      <c r="Z605" t="n">
        <v>836</v>
      </c>
      <c r="AA605" t="n">
        <v>838</v>
      </c>
      <c r="AB605" t="n">
        <v>4</v>
      </c>
      <c r="AC605" t="n">
        <v>4</v>
      </c>
      <c r="AD605" t="n">
        <v>30</v>
      </c>
      <c r="AE605" t="n">
        <v>30</v>
      </c>
      <c r="AF605" t="n">
        <v>10</v>
      </c>
      <c r="AG605" t="n">
        <v>10</v>
      </c>
      <c r="AH605" t="n">
        <v>5</v>
      </c>
      <c r="AI605" t="n">
        <v>5</v>
      </c>
      <c r="AJ605" t="n">
        <v>15</v>
      </c>
      <c r="AK605" t="n">
        <v>15</v>
      </c>
      <c r="AL605" t="n">
        <v>3</v>
      </c>
      <c r="AM605" t="n">
        <v>3</v>
      </c>
      <c r="AN605" t="n">
        <v>5</v>
      </c>
      <c r="AO605" t="n">
        <v>5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HYPERLINK("http://catalog.hathitrust.org/Record/003146462","HathiTrust Record")</f>
        <v/>
      </c>
      <c r="AS605">
        <f>HYPERLINK("https://creighton-primo.hosted.exlibrisgroup.com/primo-explore/search?tab=default_tab&amp;search_scope=EVERYTHING&amp;vid=01CRU&amp;lang=en_US&amp;offset=0&amp;query=any,contains,991002752119702656","Catalog Record")</f>
        <v/>
      </c>
      <c r="AT605">
        <f>HYPERLINK("http://www.worldcat.org/oclc/36112185","WorldCat Record")</f>
        <v/>
      </c>
      <c r="AU605" t="inlineStr">
        <is>
          <t>933572774:eng</t>
        </is>
      </c>
      <c r="AV605" t="inlineStr">
        <is>
          <t>36112185</t>
        </is>
      </c>
      <c r="AW605" t="inlineStr">
        <is>
          <t>991002752119702656</t>
        </is>
      </c>
      <c r="AX605" t="inlineStr">
        <is>
          <t>991002752119702656</t>
        </is>
      </c>
      <c r="AY605" t="inlineStr">
        <is>
          <t>2268126050002656</t>
        </is>
      </c>
      <c r="AZ605" t="inlineStr">
        <is>
          <t>BOOK</t>
        </is>
      </c>
      <c r="BB605" t="inlineStr">
        <is>
          <t>9781555533007</t>
        </is>
      </c>
      <c r="BC605" t="inlineStr">
        <is>
          <t>32285003619672</t>
        </is>
      </c>
      <c r="BD605" t="inlineStr">
        <is>
          <t>893873935</t>
        </is>
      </c>
    </row>
    <row r="606">
      <c r="A606" t="inlineStr">
        <is>
          <t>No</t>
        </is>
      </c>
      <c r="B606" t="inlineStr">
        <is>
          <t>HV6432 .H494 2003</t>
        </is>
      </c>
      <c r="C606" t="inlineStr">
        <is>
          <t>0                      HV 6432000H  494         2003</t>
        </is>
      </c>
      <c r="D606" t="inlineStr">
        <is>
          <t>Terrorism, freedom, and security : winning without war / Philip B. Heymann.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Heymann, Philip B.</t>
        </is>
      </c>
      <c r="L606" t="inlineStr">
        <is>
          <t>Cambridge, Mass. : MIT Press, c2003.</t>
        </is>
      </c>
      <c r="M606" t="inlineStr">
        <is>
          <t>2003</t>
        </is>
      </c>
      <c r="O606" t="inlineStr">
        <is>
          <t>eng</t>
        </is>
      </c>
      <c r="P606" t="inlineStr">
        <is>
          <t>mau</t>
        </is>
      </c>
      <c r="Q606" t="inlineStr">
        <is>
          <t>BCSIA studies in international security</t>
        </is>
      </c>
      <c r="R606" t="inlineStr">
        <is>
          <t xml:space="preserve">HV </t>
        </is>
      </c>
      <c r="S606" t="n">
        <v>7</v>
      </c>
      <c r="T606" t="n">
        <v>7</v>
      </c>
      <c r="U606" t="inlineStr">
        <is>
          <t>2010-03-04</t>
        </is>
      </c>
      <c r="V606" t="inlineStr">
        <is>
          <t>2010-03-04</t>
        </is>
      </c>
      <c r="W606" t="inlineStr">
        <is>
          <t>2004-05-11</t>
        </is>
      </c>
      <c r="X606" t="inlineStr">
        <is>
          <t>2004-05-11</t>
        </is>
      </c>
      <c r="Y606" t="n">
        <v>1021</v>
      </c>
      <c r="Z606" t="n">
        <v>876</v>
      </c>
      <c r="AA606" t="n">
        <v>1300</v>
      </c>
      <c r="AB606" t="n">
        <v>6</v>
      </c>
      <c r="AC606" t="n">
        <v>20</v>
      </c>
      <c r="AD606" t="n">
        <v>47</v>
      </c>
      <c r="AE606" t="n">
        <v>59</v>
      </c>
      <c r="AF606" t="n">
        <v>19</v>
      </c>
      <c r="AG606" t="n">
        <v>22</v>
      </c>
      <c r="AH606" t="n">
        <v>7</v>
      </c>
      <c r="AI606" t="n">
        <v>7</v>
      </c>
      <c r="AJ606" t="n">
        <v>17</v>
      </c>
      <c r="AK606" t="n">
        <v>19</v>
      </c>
      <c r="AL606" t="n">
        <v>4</v>
      </c>
      <c r="AM606" t="n">
        <v>11</v>
      </c>
      <c r="AN606" t="n">
        <v>10</v>
      </c>
      <c r="AO606" t="n">
        <v>10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HYPERLINK("https://creighton-primo.hosted.exlibrisgroup.com/primo-explore/search?tab=default_tab&amp;search_scope=EVERYTHING&amp;vid=01CRU&amp;lang=en_US&amp;offset=0&amp;query=any,contains,991004258529702656","Catalog Record")</f>
        <v/>
      </c>
      <c r="AT606">
        <f>HYPERLINK("http://www.worldcat.org/oclc/52418129","WorldCat Record")</f>
        <v/>
      </c>
      <c r="AU606" t="inlineStr">
        <is>
          <t>795484534:eng</t>
        </is>
      </c>
      <c r="AV606" t="inlineStr">
        <is>
          <t>52418129</t>
        </is>
      </c>
      <c r="AW606" t="inlineStr">
        <is>
          <t>991004258529702656</t>
        </is>
      </c>
      <c r="AX606" t="inlineStr">
        <is>
          <t>991004258529702656</t>
        </is>
      </c>
      <c r="AY606" t="inlineStr">
        <is>
          <t>2263187340002656</t>
        </is>
      </c>
      <c r="AZ606" t="inlineStr">
        <is>
          <t>BOOK</t>
        </is>
      </c>
      <c r="BB606" t="inlineStr">
        <is>
          <t>9780262083270</t>
        </is>
      </c>
      <c r="BC606" t="inlineStr">
        <is>
          <t>32285004905153</t>
        </is>
      </c>
      <c r="BD606" t="inlineStr">
        <is>
          <t>893429847</t>
        </is>
      </c>
    </row>
    <row r="607">
      <c r="A607" t="inlineStr">
        <is>
          <t>No</t>
        </is>
      </c>
      <c r="B607" t="inlineStr">
        <is>
          <t>HV6432 .H637 1988</t>
        </is>
      </c>
      <c r="C607" t="inlineStr">
        <is>
          <t>0                      HV 6432000H  637         1988</t>
        </is>
      </c>
      <c r="D607" t="inlineStr">
        <is>
          <t>Recent trends and future prospects of terrorism in the United States / Bruce Hoffman.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Hoffman, Bruce, 1954-</t>
        </is>
      </c>
      <c r="L607" t="inlineStr">
        <is>
          <t>Santa Monica, CA : Rand, [1988]</t>
        </is>
      </c>
      <c r="M607" t="inlineStr">
        <is>
          <t>1988</t>
        </is>
      </c>
      <c r="O607" t="inlineStr">
        <is>
          <t>eng</t>
        </is>
      </c>
      <c r="P607" t="inlineStr">
        <is>
          <t>cau</t>
        </is>
      </c>
      <c r="R607" t="inlineStr">
        <is>
          <t xml:space="preserve">HV </t>
        </is>
      </c>
      <c r="S607" t="n">
        <v>13</v>
      </c>
      <c r="T607" t="n">
        <v>13</v>
      </c>
      <c r="U607" t="inlineStr">
        <is>
          <t>2010-09-08</t>
        </is>
      </c>
      <c r="V607" t="inlineStr">
        <is>
          <t>2010-09-08</t>
        </is>
      </c>
      <c r="W607" t="inlineStr">
        <is>
          <t>1992-04-27</t>
        </is>
      </c>
      <c r="X607" t="inlineStr">
        <is>
          <t>1992-04-27</t>
        </is>
      </c>
      <c r="Y607" t="n">
        <v>137</v>
      </c>
      <c r="Z607" t="n">
        <v>121</v>
      </c>
      <c r="AA607" t="n">
        <v>124</v>
      </c>
      <c r="AB607" t="n">
        <v>2</v>
      </c>
      <c r="AC607" t="n">
        <v>2</v>
      </c>
      <c r="AD607" t="n">
        <v>2</v>
      </c>
      <c r="AE607" t="n">
        <v>3</v>
      </c>
      <c r="AF607" t="n">
        <v>0</v>
      </c>
      <c r="AG607" t="n">
        <v>0</v>
      </c>
      <c r="AH607" t="n">
        <v>0</v>
      </c>
      <c r="AI607" t="n">
        <v>0</v>
      </c>
      <c r="AJ607" t="n">
        <v>1</v>
      </c>
      <c r="AK607" t="n">
        <v>1</v>
      </c>
      <c r="AL607" t="n">
        <v>1</v>
      </c>
      <c r="AM607" t="n">
        <v>1</v>
      </c>
      <c r="AN607" t="n">
        <v>0</v>
      </c>
      <c r="AO607" t="n">
        <v>1</v>
      </c>
      <c r="AP607" t="inlineStr">
        <is>
          <t>No</t>
        </is>
      </c>
      <c r="AQ607" t="inlineStr">
        <is>
          <t>No</t>
        </is>
      </c>
      <c r="AS607">
        <f>HYPERLINK("https://creighton-primo.hosted.exlibrisgroup.com/primo-explore/search?tab=default_tab&amp;search_scope=EVERYTHING&amp;vid=01CRU&amp;lang=en_US&amp;offset=0&amp;query=any,contains,991001251039702656","Catalog Record")</f>
        <v/>
      </c>
      <c r="AT607">
        <f>HYPERLINK("http://www.worldcat.org/oclc/17676629","WorldCat Record")</f>
        <v/>
      </c>
      <c r="AU607" t="inlineStr">
        <is>
          <t>15818705:eng</t>
        </is>
      </c>
      <c r="AV607" t="inlineStr">
        <is>
          <t>17676629</t>
        </is>
      </c>
      <c r="AW607" t="inlineStr">
        <is>
          <t>991001251039702656</t>
        </is>
      </c>
      <c r="AX607" t="inlineStr">
        <is>
          <t>991001251039702656</t>
        </is>
      </c>
      <c r="AY607" t="inlineStr">
        <is>
          <t>2260542180002656</t>
        </is>
      </c>
      <c r="AZ607" t="inlineStr">
        <is>
          <t>BOOK</t>
        </is>
      </c>
      <c r="BB607" t="inlineStr">
        <is>
          <t>9780833008763</t>
        </is>
      </c>
      <c r="BC607" t="inlineStr">
        <is>
          <t>32285001089191</t>
        </is>
      </c>
      <c r="BD607" t="inlineStr">
        <is>
          <t>893328005</t>
        </is>
      </c>
    </row>
    <row r="608">
      <c r="A608" t="inlineStr">
        <is>
          <t>No</t>
        </is>
      </c>
      <c r="B608" t="inlineStr">
        <is>
          <t>HV6432 .H69 2001</t>
        </is>
      </c>
      <c r="C608" t="inlineStr">
        <is>
          <t>0                      HV 6432000H  69          2001</t>
        </is>
      </c>
      <c r="D608" t="inlineStr">
        <is>
          <t>How did this happen? : terrorism and the new war / edited by James F. Hoge, Jr., and Gideon Rose.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L608" t="inlineStr">
        <is>
          <t>New York : PublicAffairs, c2001.</t>
        </is>
      </c>
      <c r="M608" t="inlineStr">
        <is>
          <t>2001</t>
        </is>
      </c>
      <c r="N608" t="inlineStr">
        <is>
          <t>1st ed.</t>
        </is>
      </c>
      <c r="O608" t="inlineStr">
        <is>
          <t>eng</t>
        </is>
      </c>
      <c r="P608" t="inlineStr">
        <is>
          <t>nyu</t>
        </is>
      </c>
      <c r="Q608" t="inlineStr">
        <is>
          <t>PublicAffairs reports</t>
        </is>
      </c>
      <c r="R608" t="inlineStr">
        <is>
          <t xml:space="preserve">HV </t>
        </is>
      </c>
      <c r="S608" t="n">
        <v>6</v>
      </c>
      <c r="T608" t="n">
        <v>6</v>
      </c>
      <c r="U608" t="inlineStr">
        <is>
          <t>2006-09-13</t>
        </is>
      </c>
      <c r="V608" t="inlineStr">
        <is>
          <t>2006-09-13</t>
        </is>
      </c>
      <c r="W608" t="inlineStr">
        <is>
          <t>2002-07-10</t>
        </is>
      </c>
      <c r="X608" t="inlineStr">
        <is>
          <t>2002-07-10</t>
        </is>
      </c>
      <c r="Y608" t="n">
        <v>1237</v>
      </c>
      <c r="Z608" t="n">
        <v>1081</v>
      </c>
      <c r="AA608" t="n">
        <v>1091</v>
      </c>
      <c r="AB608" t="n">
        <v>5</v>
      </c>
      <c r="AC608" t="n">
        <v>5</v>
      </c>
      <c r="AD608" t="n">
        <v>35</v>
      </c>
      <c r="AE608" t="n">
        <v>35</v>
      </c>
      <c r="AF608" t="n">
        <v>15</v>
      </c>
      <c r="AG608" t="n">
        <v>15</v>
      </c>
      <c r="AH608" t="n">
        <v>8</v>
      </c>
      <c r="AI608" t="n">
        <v>8</v>
      </c>
      <c r="AJ608" t="n">
        <v>14</v>
      </c>
      <c r="AK608" t="n">
        <v>14</v>
      </c>
      <c r="AL608" t="n">
        <v>4</v>
      </c>
      <c r="AM608" t="n">
        <v>4</v>
      </c>
      <c r="AN608" t="n">
        <v>2</v>
      </c>
      <c r="AO608" t="n">
        <v>2</v>
      </c>
      <c r="AP608" t="inlineStr">
        <is>
          <t>No</t>
        </is>
      </c>
      <c r="AQ608" t="inlineStr">
        <is>
          <t>No</t>
        </is>
      </c>
      <c r="AS608">
        <f>HYPERLINK("https://creighton-primo.hosted.exlibrisgroup.com/primo-explore/search?tab=default_tab&amp;search_scope=EVERYTHING&amp;vid=01CRU&amp;lang=en_US&amp;offset=0&amp;query=any,contains,991003821159702656","Catalog Record")</f>
        <v/>
      </c>
      <c r="AT608">
        <f>HYPERLINK("http://www.worldcat.org/oclc/48434415","WorldCat Record")</f>
        <v/>
      </c>
      <c r="AU608" t="inlineStr">
        <is>
          <t>353293288:eng</t>
        </is>
      </c>
      <c r="AV608" t="inlineStr">
        <is>
          <t>48434415</t>
        </is>
      </c>
      <c r="AW608" t="inlineStr">
        <is>
          <t>991003821159702656</t>
        </is>
      </c>
      <c r="AX608" t="inlineStr">
        <is>
          <t>991003821159702656</t>
        </is>
      </c>
      <c r="AY608" t="inlineStr">
        <is>
          <t>2263008180002656</t>
        </is>
      </c>
      <c r="AZ608" t="inlineStr">
        <is>
          <t>BOOK</t>
        </is>
      </c>
      <c r="BB608" t="inlineStr">
        <is>
          <t>9781586481308</t>
        </is>
      </c>
      <c r="BC608" t="inlineStr">
        <is>
          <t>32285004497367</t>
        </is>
      </c>
      <c r="BD608" t="inlineStr">
        <is>
          <t>893318448</t>
        </is>
      </c>
    </row>
    <row r="609">
      <c r="A609" t="inlineStr">
        <is>
          <t>No</t>
        </is>
      </c>
      <c r="B609" t="inlineStr">
        <is>
          <t>HV6432 .J33 2005</t>
        </is>
      </c>
      <c r="C609" t="inlineStr">
        <is>
          <t>0                      HV 6432000J  33          2005</t>
        </is>
      </c>
      <c r="D609" t="inlineStr">
        <is>
          <t>Writing the war on terrorism : language, politics, and counter-terrorism / Richard Jackson.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Jackson, Richard, 1967-</t>
        </is>
      </c>
      <c r="L609" t="inlineStr">
        <is>
          <t>Manchester ; New York : Manchester University Press ; New York : Distributed exclusively in the USA by Palgrave, 2005.</t>
        </is>
      </c>
      <c r="M609" t="inlineStr">
        <is>
          <t>2005</t>
        </is>
      </c>
      <c r="O609" t="inlineStr">
        <is>
          <t>eng</t>
        </is>
      </c>
      <c r="P609" t="inlineStr">
        <is>
          <t>enk</t>
        </is>
      </c>
      <c r="Q609" t="inlineStr">
        <is>
          <t>New approaches to conflict analysis</t>
        </is>
      </c>
      <c r="R609" t="inlineStr">
        <is>
          <t xml:space="preserve">HV </t>
        </is>
      </c>
      <c r="S609" t="n">
        <v>1</v>
      </c>
      <c r="T609" t="n">
        <v>1</v>
      </c>
      <c r="U609" t="inlineStr">
        <is>
          <t>2006-04-18</t>
        </is>
      </c>
      <c r="V609" t="inlineStr">
        <is>
          <t>2006-04-18</t>
        </is>
      </c>
      <c r="W609" t="inlineStr">
        <is>
          <t>2006-04-18</t>
        </is>
      </c>
      <c r="X609" t="inlineStr">
        <is>
          <t>2006-04-18</t>
        </is>
      </c>
      <c r="Y609" t="n">
        <v>345</v>
      </c>
      <c r="Z609" t="n">
        <v>218</v>
      </c>
      <c r="AA609" t="n">
        <v>220</v>
      </c>
      <c r="AB609" t="n">
        <v>2</v>
      </c>
      <c r="AC609" t="n">
        <v>2</v>
      </c>
      <c r="AD609" t="n">
        <v>9</v>
      </c>
      <c r="AE609" t="n">
        <v>9</v>
      </c>
      <c r="AF609" t="n">
        <v>4</v>
      </c>
      <c r="AG609" t="n">
        <v>4</v>
      </c>
      <c r="AH609" t="n">
        <v>2</v>
      </c>
      <c r="AI609" t="n">
        <v>2</v>
      </c>
      <c r="AJ609" t="n">
        <v>7</v>
      </c>
      <c r="AK609" t="n">
        <v>7</v>
      </c>
      <c r="AL609" t="n">
        <v>1</v>
      </c>
      <c r="AM609" t="n">
        <v>1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HYPERLINK("http://catalog.hathitrust.org/Record/005052639","HathiTrust Record")</f>
        <v/>
      </c>
      <c r="AS609">
        <f>HYPERLINK("https://creighton-primo.hosted.exlibrisgroup.com/primo-explore/search?tab=default_tab&amp;search_scope=EVERYTHING&amp;vid=01CRU&amp;lang=en_US&amp;offset=0&amp;query=any,contains,991004765669702656","Catalog Record")</f>
        <v/>
      </c>
      <c r="AT609">
        <f>HYPERLINK("http://www.worldcat.org/oclc/57529172","WorldCat Record")</f>
        <v/>
      </c>
      <c r="AU609" t="inlineStr">
        <is>
          <t>796034229:eng</t>
        </is>
      </c>
      <c r="AV609" t="inlineStr">
        <is>
          <t>57529172</t>
        </is>
      </c>
      <c r="AW609" t="inlineStr">
        <is>
          <t>991004765669702656</t>
        </is>
      </c>
      <c r="AX609" t="inlineStr">
        <is>
          <t>991004765669702656</t>
        </is>
      </c>
      <c r="AY609" t="inlineStr">
        <is>
          <t>2266241240002656</t>
        </is>
      </c>
      <c r="AZ609" t="inlineStr">
        <is>
          <t>BOOK</t>
        </is>
      </c>
      <c r="BB609" t="inlineStr">
        <is>
          <t>9780719071201</t>
        </is>
      </c>
      <c r="BC609" t="inlineStr">
        <is>
          <t>32285005064182</t>
        </is>
      </c>
      <c r="BD609" t="inlineStr">
        <is>
          <t>893706817</t>
        </is>
      </c>
    </row>
    <row r="610">
      <c r="A610" t="inlineStr">
        <is>
          <t>No</t>
        </is>
      </c>
      <c r="B610" t="inlineStr">
        <is>
          <t>HV6432 .M54 2003</t>
        </is>
      </c>
      <c r="C610" t="inlineStr">
        <is>
          <t>0                      HV 6432000M  54          2003</t>
        </is>
      </c>
      <c r="D610" t="inlineStr">
        <is>
          <t>The cell : inside the 9/11 plot, and why the FBI and CIA failed to stop it / John Miller and Michael Stone, with Chris Mitchell.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Miller, John, 1958-</t>
        </is>
      </c>
      <c r="L610" t="inlineStr">
        <is>
          <t>New York : Hyperion, c2003.</t>
        </is>
      </c>
      <c r="M610" t="inlineStr">
        <is>
          <t>2003</t>
        </is>
      </c>
      <c r="N610" t="inlineStr">
        <is>
          <t>1st pbk. ed.</t>
        </is>
      </c>
      <c r="O610" t="inlineStr">
        <is>
          <t>eng</t>
        </is>
      </c>
      <c r="P610" t="inlineStr">
        <is>
          <t>nyu</t>
        </is>
      </c>
      <c r="R610" t="inlineStr">
        <is>
          <t xml:space="preserve">HV </t>
        </is>
      </c>
      <c r="S610" t="n">
        <v>5</v>
      </c>
      <c r="T610" t="n">
        <v>5</v>
      </c>
      <c r="U610" t="inlineStr">
        <is>
          <t>2006-09-29</t>
        </is>
      </c>
      <c r="V610" t="inlineStr">
        <is>
          <t>2006-09-29</t>
        </is>
      </c>
      <c r="W610" t="inlineStr">
        <is>
          <t>2003-07-16</t>
        </is>
      </c>
      <c r="X610" t="inlineStr">
        <is>
          <t>2003-07-16</t>
        </is>
      </c>
      <c r="Y610" t="n">
        <v>77</v>
      </c>
      <c r="Z610" t="n">
        <v>65</v>
      </c>
      <c r="AA610" t="n">
        <v>1773</v>
      </c>
      <c r="AB610" t="n">
        <v>3</v>
      </c>
      <c r="AC610" t="n">
        <v>23</v>
      </c>
      <c r="AD610" t="n">
        <v>2</v>
      </c>
      <c r="AE610" t="n">
        <v>31</v>
      </c>
      <c r="AF610" t="n">
        <v>0</v>
      </c>
      <c r="AG610" t="n">
        <v>13</v>
      </c>
      <c r="AH610" t="n">
        <v>0</v>
      </c>
      <c r="AI610" t="n">
        <v>4</v>
      </c>
      <c r="AJ610" t="n">
        <v>0</v>
      </c>
      <c r="AK610" t="n">
        <v>14</v>
      </c>
      <c r="AL610" t="n">
        <v>2</v>
      </c>
      <c r="AM610" t="n">
        <v>4</v>
      </c>
      <c r="AN610" t="n">
        <v>0</v>
      </c>
      <c r="AO610" t="n">
        <v>2</v>
      </c>
      <c r="AP610" t="inlineStr">
        <is>
          <t>No</t>
        </is>
      </c>
      <c r="AQ610" t="inlineStr">
        <is>
          <t>No</t>
        </is>
      </c>
      <c r="AS610">
        <f>HYPERLINK("https://creighton-primo.hosted.exlibrisgroup.com/primo-explore/search?tab=default_tab&amp;search_scope=EVERYTHING&amp;vid=01CRU&amp;lang=en_US&amp;offset=0&amp;query=any,contains,991003843319702656","Catalog Record")</f>
        <v/>
      </c>
      <c r="AT610">
        <f>HYPERLINK("http://www.worldcat.org/oclc/52307018","WorldCat Record")</f>
        <v/>
      </c>
      <c r="AU610" t="inlineStr">
        <is>
          <t>772458:eng</t>
        </is>
      </c>
      <c r="AV610" t="inlineStr">
        <is>
          <t>52307018</t>
        </is>
      </c>
      <c r="AW610" t="inlineStr">
        <is>
          <t>991003843319702656</t>
        </is>
      </c>
      <c r="AX610" t="inlineStr">
        <is>
          <t>991003843319702656</t>
        </is>
      </c>
      <c r="AY610" t="inlineStr">
        <is>
          <t>2261735700002656</t>
        </is>
      </c>
      <c r="AZ610" t="inlineStr">
        <is>
          <t>BOOK</t>
        </is>
      </c>
      <c r="BB610" t="inlineStr">
        <is>
          <t>9780786887828</t>
        </is>
      </c>
      <c r="BC610" t="inlineStr">
        <is>
          <t>32285004756176</t>
        </is>
      </c>
      <c r="BD610" t="inlineStr">
        <is>
          <t>893416860</t>
        </is>
      </c>
    </row>
    <row r="611">
      <c r="A611" t="inlineStr">
        <is>
          <t>No</t>
        </is>
      </c>
      <c r="B611" t="inlineStr">
        <is>
          <t>HV6432 .M546 2004</t>
        </is>
      </c>
      <c r="C611" t="inlineStr">
        <is>
          <t>0                      HV 6432000M  546         2004</t>
        </is>
      </c>
      <c r="D611" t="inlineStr">
        <is>
          <t>Shadow war : the untold story of how Bush is winning the war on terror / Rich Miniter.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Miniter, Richard.</t>
        </is>
      </c>
      <c r="L611" t="inlineStr">
        <is>
          <t>Washington, D.C. : Regnery Pub. ; Lanham, MD : Distributed to the trade by National Book Network, c2004.</t>
        </is>
      </c>
      <c r="M611" t="inlineStr">
        <is>
          <t>2004</t>
        </is>
      </c>
      <c r="O611" t="inlineStr">
        <is>
          <t>eng</t>
        </is>
      </c>
      <c r="P611" t="inlineStr">
        <is>
          <t>dcu</t>
        </is>
      </c>
      <c r="R611" t="inlineStr">
        <is>
          <t xml:space="preserve">HV </t>
        </is>
      </c>
      <c r="S611" t="n">
        <v>7</v>
      </c>
      <c r="T611" t="n">
        <v>7</v>
      </c>
      <c r="U611" t="inlineStr">
        <is>
          <t>2010-06-30</t>
        </is>
      </c>
      <c r="V611" t="inlineStr">
        <is>
          <t>2010-06-30</t>
        </is>
      </c>
      <c r="W611" t="inlineStr">
        <is>
          <t>2004-11-09</t>
        </is>
      </c>
      <c r="X611" t="inlineStr">
        <is>
          <t>2004-11-09</t>
        </is>
      </c>
      <c r="Y611" t="n">
        <v>722</v>
      </c>
      <c r="Z611" t="n">
        <v>699</v>
      </c>
      <c r="AA611" t="n">
        <v>705</v>
      </c>
      <c r="AB611" t="n">
        <v>8</v>
      </c>
      <c r="AC611" t="n">
        <v>8</v>
      </c>
      <c r="AD611" t="n">
        <v>14</v>
      </c>
      <c r="AE611" t="n">
        <v>14</v>
      </c>
      <c r="AF611" t="n">
        <v>2</v>
      </c>
      <c r="AG611" t="n">
        <v>2</v>
      </c>
      <c r="AH611" t="n">
        <v>4</v>
      </c>
      <c r="AI611" t="n">
        <v>4</v>
      </c>
      <c r="AJ611" t="n">
        <v>9</v>
      </c>
      <c r="AK611" t="n">
        <v>9</v>
      </c>
      <c r="AL611" t="n">
        <v>2</v>
      </c>
      <c r="AM611" t="n">
        <v>2</v>
      </c>
      <c r="AN611" t="n">
        <v>1</v>
      </c>
      <c r="AO611" t="n">
        <v>1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HYPERLINK("https://creighton-primo.hosted.exlibrisgroup.com/primo-explore/search?tab=default_tab&amp;search_scope=EVERYTHING&amp;vid=01CRU&amp;lang=en_US&amp;offset=0&amp;query=any,contains,991004413029702656","Catalog Record")</f>
        <v/>
      </c>
      <c r="AT611">
        <f>HYPERLINK("http://www.worldcat.org/oclc/56370472","WorldCat Record")</f>
        <v/>
      </c>
      <c r="AU611" t="inlineStr">
        <is>
          <t>3901577506:eng</t>
        </is>
      </c>
      <c r="AV611" t="inlineStr">
        <is>
          <t>56370472</t>
        </is>
      </c>
      <c r="AW611" t="inlineStr">
        <is>
          <t>991004413029702656</t>
        </is>
      </c>
      <c r="AX611" t="inlineStr">
        <is>
          <t>991004413029702656</t>
        </is>
      </c>
      <c r="AY611" t="inlineStr">
        <is>
          <t>2272491970002656</t>
        </is>
      </c>
      <c r="AZ611" t="inlineStr">
        <is>
          <t>BOOK</t>
        </is>
      </c>
      <c r="BB611" t="inlineStr">
        <is>
          <t>9780895260529</t>
        </is>
      </c>
      <c r="BC611" t="inlineStr">
        <is>
          <t>32285005009815</t>
        </is>
      </c>
      <c r="BD611" t="inlineStr">
        <is>
          <t>893800945</t>
        </is>
      </c>
    </row>
    <row r="612">
      <c r="A612" t="inlineStr">
        <is>
          <t>No</t>
        </is>
      </c>
      <c r="B612" t="inlineStr">
        <is>
          <t>HV6432 .M66 2003</t>
        </is>
      </c>
      <c r="C612" t="inlineStr">
        <is>
          <t>0                      HV 6432000M  66          2003</t>
        </is>
      </c>
      <c r="D612" t="inlineStr">
        <is>
          <t>The hunt for Bin Laden : Task Force Dagger / Robin Moore.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Moore, Robin, 1925-2008.</t>
        </is>
      </c>
      <c r="L612" t="inlineStr">
        <is>
          <t>New York : Random House, c2003.</t>
        </is>
      </c>
      <c r="M612" t="inlineStr">
        <is>
          <t>2003</t>
        </is>
      </c>
      <c r="O612" t="inlineStr">
        <is>
          <t>eng</t>
        </is>
      </c>
      <c r="P612" t="inlineStr">
        <is>
          <t>nyu</t>
        </is>
      </c>
      <c r="R612" t="inlineStr">
        <is>
          <t xml:space="preserve">HV </t>
        </is>
      </c>
      <c r="S612" t="n">
        <v>5</v>
      </c>
      <c r="T612" t="n">
        <v>5</v>
      </c>
      <c r="U612" t="inlineStr">
        <is>
          <t>2010-06-28</t>
        </is>
      </c>
      <c r="V612" t="inlineStr">
        <is>
          <t>2010-06-28</t>
        </is>
      </c>
      <c r="W612" t="inlineStr">
        <is>
          <t>2003-06-23</t>
        </is>
      </c>
      <c r="X612" t="inlineStr">
        <is>
          <t>2003-06-23</t>
        </is>
      </c>
      <c r="Y612" t="n">
        <v>1251</v>
      </c>
      <c r="Z612" t="n">
        <v>1195</v>
      </c>
      <c r="AA612" t="n">
        <v>1244</v>
      </c>
      <c r="AB612" t="n">
        <v>11</v>
      </c>
      <c r="AC612" t="n">
        <v>11</v>
      </c>
      <c r="AD612" t="n">
        <v>15</v>
      </c>
      <c r="AE612" t="n">
        <v>15</v>
      </c>
      <c r="AF612" t="n">
        <v>4</v>
      </c>
      <c r="AG612" t="n">
        <v>4</v>
      </c>
      <c r="AH612" t="n">
        <v>3</v>
      </c>
      <c r="AI612" t="n">
        <v>3</v>
      </c>
      <c r="AJ612" t="n">
        <v>7</v>
      </c>
      <c r="AK612" t="n">
        <v>7</v>
      </c>
      <c r="AL612" t="n">
        <v>4</v>
      </c>
      <c r="AM612" t="n">
        <v>4</v>
      </c>
      <c r="AN612" t="n">
        <v>1</v>
      </c>
      <c r="AO612" t="n">
        <v>1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HYPERLINK("https://creighton-primo.hosted.exlibrisgroup.com/primo-explore/search?tab=default_tab&amp;search_scope=EVERYTHING&amp;vid=01CRU&amp;lang=en_US&amp;offset=0&amp;query=any,contains,991004074289702656","Catalog Record")</f>
        <v/>
      </c>
      <c r="AT612">
        <f>HYPERLINK("http://www.worldcat.org/oclc/51783389","WorldCat Record")</f>
        <v/>
      </c>
      <c r="AU612" t="inlineStr">
        <is>
          <t>799108295:eng</t>
        </is>
      </c>
      <c r="AV612" t="inlineStr">
        <is>
          <t>51783389</t>
        </is>
      </c>
      <c r="AW612" t="inlineStr">
        <is>
          <t>991004074289702656</t>
        </is>
      </c>
      <c r="AX612" t="inlineStr">
        <is>
          <t>991004074289702656</t>
        </is>
      </c>
      <c r="AY612" t="inlineStr">
        <is>
          <t>2266205140002656</t>
        </is>
      </c>
      <c r="AZ612" t="inlineStr">
        <is>
          <t>BOOK</t>
        </is>
      </c>
      <c r="BB612" t="inlineStr">
        <is>
          <t>9780375508615</t>
        </is>
      </c>
      <c r="BC612" t="inlineStr">
        <is>
          <t>32285004753868</t>
        </is>
      </c>
      <c r="BD612" t="inlineStr">
        <is>
          <t>893417192</t>
        </is>
      </c>
    </row>
    <row r="613">
      <c r="A613" t="inlineStr">
        <is>
          <t>No</t>
        </is>
      </c>
      <c r="B613" t="inlineStr">
        <is>
          <t>HV6432 .N34 2005</t>
        </is>
      </c>
      <c r="C613" t="inlineStr">
        <is>
          <t>0                      HV 6432000N  34          2005</t>
        </is>
      </c>
      <c r="D613" t="inlineStr">
        <is>
          <t>Blind spot : the secret history of American counterterrorism / Timothy Naftali.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Naftali, Timothy J.</t>
        </is>
      </c>
      <c r="L613" t="inlineStr">
        <is>
          <t>New York : Basic Books, c2005.</t>
        </is>
      </c>
      <c r="M613" t="inlineStr">
        <is>
          <t>2005</t>
        </is>
      </c>
      <c r="O613" t="inlineStr">
        <is>
          <t>eng</t>
        </is>
      </c>
      <c r="P613" t="inlineStr">
        <is>
          <t>nyu</t>
        </is>
      </c>
      <c r="R613" t="inlineStr">
        <is>
          <t xml:space="preserve">HV </t>
        </is>
      </c>
      <c r="S613" t="n">
        <v>5</v>
      </c>
      <c r="T613" t="n">
        <v>5</v>
      </c>
      <c r="U613" t="inlineStr">
        <is>
          <t>2010-03-04</t>
        </is>
      </c>
      <c r="V613" t="inlineStr">
        <is>
          <t>2010-03-04</t>
        </is>
      </c>
      <c r="W613" t="inlineStr">
        <is>
          <t>2005-07-05</t>
        </is>
      </c>
      <c r="X613" t="inlineStr">
        <is>
          <t>2005-07-05</t>
        </is>
      </c>
      <c r="Y613" t="n">
        <v>979</v>
      </c>
      <c r="Z613" t="n">
        <v>883</v>
      </c>
      <c r="AA613" t="n">
        <v>949</v>
      </c>
      <c r="AB613" t="n">
        <v>4</v>
      </c>
      <c r="AC613" t="n">
        <v>4</v>
      </c>
      <c r="AD613" t="n">
        <v>33</v>
      </c>
      <c r="AE613" t="n">
        <v>34</v>
      </c>
      <c r="AF613" t="n">
        <v>17</v>
      </c>
      <c r="AG613" t="n">
        <v>17</v>
      </c>
      <c r="AH613" t="n">
        <v>5</v>
      </c>
      <c r="AI613" t="n">
        <v>6</v>
      </c>
      <c r="AJ613" t="n">
        <v>15</v>
      </c>
      <c r="AK613" t="n">
        <v>16</v>
      </c>
      <c r="AL613" t="n">
        <v>3</v>
      </c>
      <c r="AM613" t="n">
        <v>3</v>
      </c>
      <c r="AN613" t="n">
        <v>3</v>
      </c>
      <c r="AO613" t="n">
        <v>3</v>
      </c>
      <c r="AP613" t="inlineStr">
        <is>
          <t>No</t>
        </is>
      </c>
      <c r="AQ613" t="inlineStr">
        <is>
          <t>No</t>
        </is>
      </c>
      <c r="AS613">
        <f>HYPERLINK("https://creighton-primo.hosted.exlibrisgroup.com/primo-explore/search?tab=default_tab&amp;search_scope=EVERYTHING&amp;vid=01CRU&amp;lang=en_US&amp;offset=0&amp;query=any,contains,991004586799702656","Catalog Record")</f>
        <v/>
      </c>
      <c r="AT613">
        <f>HYPERLINK("http://www.worldcat.org/oclc/57613597","WorldCat Record")</f>
        <v/>
      </c>
      <c r="AU613" t="inlineStr">
        <is>
          <t>796459703:eng</t>
        </is>
      </c>
      <c r="AV613" t="inlineStr">
        <is>
          <t>57613597</t>
        </is>
      </c>
      <c r="AW613" t="inlineStr">
        <is>
          <t>991004586799702656</t>
        </is>
      </c>
      <c r="AX613" t="inlineStr">
        <is>
          <t>991004586799702656</t>
        </is>
      </c>
      <c r="AY613" t="inlineStr">
        <is>
          <t>2269357440002656</t>
        </is>
      </c>
      <c r="AZ613" t="inlineStr">
        <is>
          <t>BOOK</t>
        </is>
      </c>
      <c r="BB613" t="inlineStr">
        <is>
          <t>9780465092819</t>
        </is>
      </c>
      <c r="BC613" t="inlineStr">
        <is>
          <t>32285005094742</t>
        </is>
      </c>
      <c r="BD613" t="inlineStr">
        <is>
          <t>893331797</t>
        </is>
      </c>
    </row>
    <row r="614">
      <c r="A614" t="inlineStr">
        <is>
          <t>No</t>
        </is>
      </c>
      <c r="B614" t="inlineStr">
        <is>
          <t>HV6432 .P76 2002</t>
        </is>
      </c>
      <c r="C614" t="inlineStr">
        <is>
          <t>0                      HV 6432000P  76          2002</t>
        </is>
      </c>
      <c r="D614" t="inlineStr">
        <is>
          <t>Protecting the American homeland : a preliminary analysis / Michael E. O'Hanlon ... [et al.].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L614" t="inlineStr">
        <is>
          <t>Washington, D.C. : Brookings Institution Press, c2002.</t>
        </is>
      </c>
      <c r="M614" t="inlineStr">
        <is>
          <t>2002</t>
        </is>
      </c>
      <c r="O614" t="inlineStr">
        <is>
          <t>eng</t>
        </is>
      </c>
      <c r="P614" t="inlineStr">
        <is>
          <t>dcu</t>
        </is>
      </c>
      <c r="R614" t="inlineStr">
        <is>
          <t xml:space="preserve">HV </t>
        </is>
      </c>
      <c r="S614" t="n">
        <v>5</v>
      </c>
      <c r="T614" t="n">
        <v>5</v>
      </c>
      <c r="U614" t="inlineStr">
        <is>
          <t>2005-03-28</t>
        </is>
      </c>
      <c r="V614" t="inlineStr">
        <is>
          <t>2005-03-28</t>
        </is>
      </c>
      <c r="W614" t="inlineStr">
        <is>
          <t>2002-08-20</t>
        </is>
      </c>
      <c r="X614" t="inlineStr">
        <is>
          <t>2002-08-20</t>
        </is>
      </c>
      <c r="Y614" t="n">
        <v>496</v>
      </c>
      <c r="Z614" t="n">
        <v>444</v>
      </c>
      <c r="AA614" t="n">
        <v>753</v>
      </c>
      <c r="AB614" t="n">
        <v>3</v>
      </c>
      <c r="AC614" t="n">
        <v>4</v>
      </c>
      <c r="AD614" t="n">
        <v>20</v>
      </c>
      <c r="AE614" t="n">
        <v>23</v>
      </c>
      <c r="AF614" t="n">
        <v>7</v>
      </c>
      <c r="AG614" t="n">
        <v>9</v>
      </c>
      <c r="AH614" t="n">
        <v>5</v>
      </c>
      <c r="AI614" t="n">
        <v>5</v>
      </c>
      <c r="AJ614" t="n">
        <v>9</v>
      </c>
      <c r="AK614" t="n">
        <v>10</v>
      </c>
      <c r="AL614" t="n">
        <v>2</v>
      </c>
      <c r="AM614" t="n">
        <v>3</v>
      </c>
      <c r="AN614" t="n">
        <v>3</v>
      </c>
      <c r="AO614" t="n">
        <v>3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HYPERLINK("https://creighton-primo.hosted.exlibrisgroup.com/primo-explore/search?tab=default_tab&amp;search_scope=EVERYTHING&amp;vid=01CRU&amp;lang=en_US&amp;offset=0&amp;query=any,contains,991003863039702656","Catalog Record")</f>
        <v/>
      </c>
      <c r="AT614">
        <f>HYPERLINK("http://www.worldcat.org/oclc/49725736","WorldCat Record")</f>
        <v/>
      </c>
      <c r="AU614" t="inlineStr">
        <is>
          <t>1073290330:eng</t>
        </is>
      </c>
      <c r="AV614" t="inlineStr">
        <is>
          <t>49725736</t>
        </is>
      </c>
      <c r="AW614" t="inlineStr">
        <is>
          <t>991003863039702656</t>
        </is>
      </c>
      <c r="AX614" t="inlineStr">
        <is>
          <t>991003863039702656</t>
        </is>
      </c>
      <c r="AY614" t="inlineStr">
        <is>
          <t>2265730800002656</t>
        </is>
      </c>
      <c r="AZ614" t="inlineStr">
        <is>
          <t>BOOK</t>
        </is>
      </c>
      <c r="BB614" t="inlineStr">
        <is>
          <t>9780815706519</t>
        </is>
      </c>
      <c r="BC614" t="inlineStr">
        <is>
          <t>32285004644067</t>
        </is>
      </c>
      <c r="BD614" t="inlineStr">
        <is>
          <t>893349293</t>
        </is>
      </c>
    </row>
    <row r="615">
      <c r="A615" t="inlineStr">
        <is>
          <t>No</t>
        </is>
      </c>
      <c r="B615" t="inlineStr">
        <is>
          <t>HV6432 .R54 2003</t>
        </is>
      </c>
      <c r="C615" t="inlineStr">
        <is>
          <t>0                      HV 6432000R  54          2003</t>
        </is>
      </c>
      <c r="D615" t="inlineStr">
        <is>
          <t>Rights vs. public safety after 9/11 : America in the age of terrorism / edited by Amitai Etzioni and Jason H. Marsh.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Lanham, Md. : Rowman &amp; Littlefield, c2003.</t>
        </is>
      </c>
      <c r="M615" t="inlineStr">
        <is>
          <t>2003</t>
        </is>
      </c>
      <c r="O615" t="inlineStr">
        <is>
          <t>eng</t>
        </is>
      </c>
      <c r="P615" t="inlineStr">
        <is>
          <t>mdu</t>
        </is>
      </c>
      <c r="Q615" t="inlineStr">
        <is>
          <t>Rights and responsibilities</t>
        </is>
      </c>
      <c r="R615" t="inlineStr">
        <is>
          <t xml:space="preserve">HV </t>
        </is>
      </c>
      <c r="S615" t="n">
        <v>13</v>
      </c>
      <c r="T615" t="n">
        <v>13</v>
      </c>
      <c r="U615" t="inlineStr">
        <is>
          <t>2007-03-29</t>
        </is>
      </c>
      <c r="V615" t="inlineStr">
        <is>
          <t>2007-03-29</t>
        </is>
      </c>
      <c r="W615" t="inlineStr">
        <is>
          <t>2005-02-28</t>
        </is>
      </c>
      <c r="X615" t="inlineStr">
        <is>
          <t>2005-02-28</t>
        </is>
      </c>
      <c r="Y615" t="n">
        <v>668</v>
      </c>
      <c r="Z615" t="n">
        <v>595</v>
      </c>
      <c r="AA615" t="n">
        <v>653</v>
      </c>
      <c r="AB615" t="n">
        <v>5</v>
      </c>
      <c r="AC615" t="n">
        <v>5</v>
      </c>
      <c r="AD615" t="n">
        <v>33</v>
      </c>
      <c r="AE615" t="n">
        <v>33</v>
      </c>
      <c r="AF615" t="n">
        <v>12</v>
      </c>
      <c r="AG615" t="n">
        <v>12</v>
      </c>
      <c r="AH615" t="n">
        <v>6</v>
      </c>
      <c r="AI615" t="n">
        <v>6</v>
      </c>
      <c r="AJ615" t="n">
        <v>13</v>
      </c>
      <c r="AK615" t="n">
        <v>13</v>
      </c>
      <c r="AL615" t="n">
        <v>4</v>
      </c>
      <c r="AM615" t="n">
        <v>4</v>
      </c>
      <c r="AN615" t="n">
        <v>6</v>
      </c>
      <c r="AO615" t="n">
        <v>6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HYPERLINK("http://catalog.hathitrust.org/Record/004317065","HathiTrust Record")</f>
        <v/>
      </c>
      <c r="AS615">
        <f>HYPERLINK("https://creighton-primo.hosted.exlibrisgroup.com/primo-explore/search?tab=default_tab&amp;search_scope=EVERYTHING&amp;vid=01CRU&amp;lang=en_US&amp;offset=0&amp;query=any,contains,991004462199702656","Catalog Record")</f>
        <v/>
      </c>
      <c r="AT615">
        <f>HYPERLINK("http://www.worldcat.org/oclc/50410126","WorldCat Record")</f>
        <v/>
      </c>
      <c r="AU615" t="inlineStr">
        <is>
          <t>799739238:eng</t>
        </is>
      </c>
      <c r="AV615" t="inlineStr">
        <is>
          <t>50410126</t>
        </is>
      </c>
      <c r="AW615" t="inlineStr">
        <is>
          <t>991004462199702656</t>
        </is>
      </c>
      <c r="AX615" t="inlineStr">
        <is>
          <t>991004462199702656</t>
        </is>
      </c>
      <c r="AY615" t="inlineStr">
        <is>
          <t>2262228040002656</t>
        </is>
      </c>
      <c r="AZ615" t="inlineStr">
        <is>
          <t>BOOK</t>
        </is>
      </c>
      <c r="BB615" t="inlineStr">
        <is>
          <t>9780742527546</t>
        </is>
      </c>
      <c r="BC615" t="inlineStr">
        <is>
          <t>32285005027650</t>
        </is>
      </c>
      <c r="BD615" t="inlineStr">
        <is>
          <t>893612380</t>
        </is>
      </c>
    </row>
    <row r="616">
      <c r="A616" t="inlineStr">
        <is>
          <t>No</t>
        </is>
      </c>
      <c r="B616" t="inlineStr">
        <is>
          <t>HV6432 .R59 2007</t>
        </is>
      </c>
      <c r="C616" t="inlineStr">
        <is>
          <t>0                      HV 6432000R  59          2007</t>
        </is>
      </c>
      <c r="D616" t="inlineStr">
        <is>
          <t>Terrorism and global security / Ann E. Robertson ; foreword by James O. Ellis III.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Robertson, Ann E.</t>
        </is>
      </c>
      <c r="L616" t="inlineStr">
        <is>
          <t>New York NY : Facts On File, c2007.</t>
        </is>
      </c>
      <c r="M616" t="inlineStr">
        <is>
          <t>2007</t>
        </is>
      </c>
      <c r="O616" t="inlineStr">
        <is>
          <t>eng</t>
        </is>
      </c>
      <c r="P616" t="inlineStr">
        <is>
          <t>nyu</t>
        </is>
      </c>
      <c r="Q616" t="inlineStr">
        <is>
          <t>Global issues</t>
        </is>
      </c>
      <c r="R616" t="inlineStr">
        <is>
          <t xml:space="preserve">HV </t>
        </is>
      </c>
      <c r="S616" t="n">
        <v>1</v>
      </c>
      <c r="T616" t="n">
        <v>1</v>
      </c>
      <c r="U616" t="inlineStr">
        <is>
          <t>2009-04-14</t>
        </is>
      </c>
      <c r="V616" t="inlineStr">
        <is>
          <t>2009-04-14</t>
        </is>
      </c>
      <c r="W616" t="inlineStr">
        <is>
          <t>2009-04-14</t>
        </is>
      </c>
      <c r="X616" t="inlineStr">
        <is>
          <t>2009-04-14</t>
        </is>
      </c>
      <c r="Y616" t="n">
        <v>522</v>
      </c>
      <c r="Z616" t="n">
        <v>468</v>
      </c>
      <c r="AA616" t="n">
        <v>623</v>
      </c>
      <c r="AB616" t="n">
        <v>3</v>
      </c>
      <c r="AC616" t="n">
        <v>4</v>
      </c>
      <c r="AD616" t="n">
        <v>17</v>
      </c>
      <c r="AE616" t="n">
        <v>18</v>
      </c>
      <c r="AF616" t="n">
        <v>10</v>
      </c>
      <c r="AG616" t="n">
        <v>10</v>
      </c>
      <c r="AH616" t="n">
        <v>3</v>
      </c>
      <c r="AI616" t="n">
        <v>3</v>
      </c>
      <c r="AJ616" t="n">
        <v>8</v>
      </c>
      <c r="AK616" t="n">
        <v>8</v>
      </c>
      <c r="AL616" t="n">
        <v>2</v>
      </c>
      <c r="AM616" t="n">
        <v>3</v>
      </c>
      <c r="AN616" t="n">
        <v>1</v>
      </c>
      <c r="AO616" t="n">
        <v>1</v>
      </c>
      <c r="AP616" t="inlineStr">
        <is>
          <t>No</t>
        </is>
      </c>
      <c r="AQ616" t="inlineStr">
        <is>
          <t>Yes</t>
        </is>
      </c>
      <c r="AR616">
        <f>HYPERLINK("http://catalog.hathitrust.org/Record/005587293","HathiTrust Record")</f>
        <v/>
      </c>
      <c r="AS616">
        <f>HYPERLINK("https://creighton-primo.hosted.exlibrisgroup.com/primo-explore/search?tab=default_tab&amp;search_scope=EVERYTHING&amp;vid=01CRU&amp;lang=en_US&amp;offset=0&amp;query=any,contains,991005306829702656","Catalog Record")</f>
        <v/>
      </c>
      <c r="AT616">
        <f>HYPERLINK("http://www.worldcat.org/oclc/71329827","WorldCat Record")</f>
        <v/>
      </c>
      <c r="AU616" t="inlineStr">
        <is>
          <t>58279212:eng</t>
        </is>
      </c>
      <c r="AV616" t="inlineStr">
        <is>
          <t>71329827</t>
        </is>
      </c>
      <c r="AW616" t="inlineStr">
        <is>
          <t>991005306829702656</t>
        </is>
      </c>
      <c r="AX616" t="inlineStr">
        <is>
          <t>991005306829702656</t>
        </is>
      </c>
      <c r="AY616" t="inlineStr">
        <is>
          <t>2266777980002656</t>
        </is>
      </c>
      <c r="AZ616" t="inlineStr">
        <is>
          <t>BOOK</t>
        </is>
      </c>
      <c r="BB616" t="inlineStr">
        <is>
          <t>9780816067664</t>
        </is>
      </c>
      <c r="BC616" t="inlineStr">
        <is>
          <t>32285005514889</t>
        </is>
      </c>
      <c r="BD616" t="inlineStr">
        <is>
          <t>893877269</t>
        </is>
      </c>
    </row>
    <row r="617">
      <c r="A617" t="inlineStr">
        <is>
          <t>No</t>
        </is>
      </c>
      <c r="B617" t="inlineStr">
        <is>
          <t>HV6432 .R87 2002</t>
        </is>
      </c>
      <c r="C617" t="inlineStr">
        <is>
          <t>0                      HV 6432000R  87          2002</t>
        </is>
      </c>
      <c r="D617" t="inlineStr">
        <is>
          <t>A fury for God : the Islamist attack on America / Malise Ruthven.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Ruthven, Malise.</t>
        </is>
      </c>
      <c r="L617" t="inlineStr">
        <is>
          <t>London ; New York : Granta, 2002.</t>
        </is>
      </c>
      <c r="M617" t="inlineStr">
        <is>
          <t>2002</t>
        </is>
      </c>
      <c r="O617" t="inlineStr">
        <is>
          <t>eng</t>
        </is>
      </c>
      <c r="P617" t="inlineStr">
        <is>
          <t>enk</t>
        </is>
      </c>
      <c r="R617" t="inlineStr">
        <is>
          <t xml:space="preserve">HV </t>
        </is>
      </c>
      <c r="S617" t="n">
        <v>4</v>
      </c>
      <c r="T617" t="n">
        <v>4</v>
      </c>
      <c r="U617" t="inlineStr">
        <is>
          <t>2006-09-13</t>
        </is>
      </c>
      <c r="V617" t="inlineStr">
        <is>
          <t>2006-09-13</t>
        </is>
      </c>
      <c r="W617" t="inlineStr">
        <is>
          <t>2003-07-16</t>
        </is>
      </c>
      <c r="X617" t="inlineStr">
        <is>
          <t>2003-07-16</t>
        </is>
      </c>
      <c r="Y617" t="n">
        <v>464</v>
      </c>
      <c r="Z617" t="n">
        <v>334</v>
      </c>
      <c r="AA617" t="n">
        <v>405</v>
      </c>
      <c r="AB617" t="n">
        <v>1</v>
      </c>
      <c r="AC617" t="n">
        <v>1</v>
      </c>
      <c r="AD617" t="n">
        <v>10</v>
      </c>
      <c r="AE617" t="n">
        <v>11</v>
      </c>
      <c r="AF617" t="n">
        <v>3</v>
      </c>
      <c r="AG617" t="n">
        <v>3</v>
      </c>
      <c r="AH617" t="n">
        <v>4</v>
      </c>
      <c r="AI617" t="n">
        <v>4</v>
      </c>
      <c r="AJ617" t="n">
        <v>4</v>
      </c>
      <c r="AK617" t="n">
        <v>5</v>
      </c>
      <c r="AL617" t="n">
        <v>0</v>
      </c>
      <c r="AM617" t="n">
        <v>0</v>
      </c>
      <c r="AN617" t="n">
        <v>1</v>
      </c>
      <c r="AO617" t="n">
        <v>1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HYPERLINK("http://catalog.hathitrust.org/Record/004270265","HathiTrust Record")</f>
        <v/>
      </c>
      <c r="AS617">
        <f>HYPERLINK("https://creighton-primo.hosted.exlibrisgroup.com/primo-explore/search?tab=default_tab&amp;search_scope=EVERYTHING&amp;vid=01CRU&amp;lang=en_US&amp;offset=0&amp;query=any,contains,991003884659702656","Catalog Record")</f>
        <v/>
      </c>
      <c r="AT617">
        <f>HYPERLINK("http://www.worldcat.org/oclc/48836908","WorldCat Record")</f>
        <v/>
      </c>
      <c r="AU617" t="inlineStr">
        <is>
          <t>796413865:eng</t>
        </is>
      </c>
      <c r="AV617" t="inlineStr">
        <is>
          <t>48836908</t>
        </is>
      </c>
      <c r="AW617" t="inlineStr">
        <is>
          <t>991003884659702656</t>
        </is>
      </c>
      <c r="AX617" t="inlineStr">
        <is>
          <t>991003884659702656</t>
        </is>
      </c>
      <c r="AY617" t="inlineStr">
        <is>
          <t>2266819560002656</t>
        </is>
      </c>
      <c r="AZ617" t="inlineStr">
        <is>
          <t>BOOK</t>
        </is>
      </c>
      <c r="BB617" t="inlineStr">
        <is>
          <t>9781862075405</t>
        </is>
      </c>
      <c r="BC617" t="inlineStr">
        <is>
          <t>32285004756374</t>
        </is>
      </c>
      <c r="BD617" t="inlineStr">
        <is>
          <t>893875325</t>
        </is>
      </c>
    </row>
    <row r="618">
      <c r="A618" t="inlineStr">
        <is>
          <t>No</t>
        </is>
      </c>
      <c r="B618" t="inlineStr">
        <is>
          <t>HV6432 .S52 2003</t>
        </is>
      </c>
      <c r="C618" t="inlineStr">
        <is>
          <t>0                      HV 6432000S  52          2003</t>
        </is>
      </c>
      <c r="D618" t="inlineStr">
        <is>
          <t>Middletown, America : one town's passage from trauma to hope / Gail Sheehy.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Sheehy, Gail.</t>
        </is>
      </c>
      <c r="L618" t="inlineStr">
        <is>
          <t>New York : Random House, c2003.</t>
        </is>
      </c>
      <c r="M618" t="inlineStr">
        <is>
          <t>2003</t>
        </is>
      </c>
      <c r="N618" t="inlineStr">
        <is>
          <t>1st ed.</t>
        </is>
      </c>
      <c r="O618" t="inlineStr">
        <is>
          <t>eng</t>
        </is>
      </c>
      <c r="P618" t="inlineStr">
        <is>
          <t>nyu</t>
        </is>
      </c>
      <c r="R618" t="inlineStr">
        <is>
          <t xml:space="preserve">HV </t>
        </is>
      </c>
      <c r="S618" t="n">
        <v>2</v>
      </c>
      <c r="T618" t="n">
        <v>2</v>
      </c>
      <c r="U618" t="inlineStr">
        <is>
          <t>2003-10-08</t>
        </is>
      </c>
      <c r="V618" t="inlineStr">
        <is>
          <t>2003-10-08</t>
        </is>
      </c>
      <c r="W618" t="inlineStr">
        <is>
          <t>2003-09-22</t>
        </is>
      </c>
      <c r="X618" t="inlineStr">
        <is>
          <t>2003-09-22</t>
        </is>
      </c>
      <c r="Y618" t="n">
        <v>1412</v>
      </c>
      <c r="Z618" t="n">
        <v>1355</v>
      </c>
      <c r="AA618" t="n">
        <v>1396</v>
      </c>
      <c r="AB618" t="n">
        <v>14</v>
      </c>
      <c r="AC618" t="n">
        <v>14</v>
      </c>
      <c r="AD618" t="n">
        <v>32</v>
      </c>
      <c r="AE618" t="n">
        <v>32</v>
      </c>
      <c r="AF618" t="n">
        <v>13</v>
      </c>
      <c r="AG618" t="n">
        <v>13</v>
      </c>
      <c r="AH618" t="n">
        <v>4</v>
      </c>
      <c r="AI618" t="n">
        <v>4</v>
      </c>
      <c r="AJ618" t="n">
        <v>16</v>
      </c>
      <c r="AK618" t="n">
        <v>16</v>
      </c>
      <c r="AL618" t="n">
        <v>6</v>
      </c>
      <c r="AM618" t="n">
        <v>6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HYPERLINK("https://creighton-primo.hosted.exlibrisgroup.com/primo-explore/search?tab=default_tab&amp;search_scope=EVERYTHING&amp;vid=01CRU&amp;lang=en_US&amp;offset=0&amp;query=any,contains,991004120669702656","Catalog Record")</f>
        <v/>
      </c>
      <c r="AT618">
        <f>HYPERLINK("http://www.worldcat.org/oclc/52058206","WorldCat Record")</f>
        <v/>
      </c>
      <c r="AU618" t="inlineStr">
        <is>
          <t>687403:eng</t>
        </is>
      </c>
      <c r="AV618" t="inlineStr">
        <is>
          <t>52058206</t>
        </is>
      </c>
      <c r="AW618" t="inlineStr">
        <is>
          <t>991004120669702656</t>
        </is>
      </c>
      <c r="AX618" t="inlineStr">
        <is>
          <t>991004120669702656</t>
        </is>
      </c>
      <c r="AY618" t="inlineStr">
        <is>
          <t>2255078840002656</t>
        </is>
      </c>
      <c r="AZ618" t="inlineStr">
        <is>
          <t>BOOK</t>
        </is>
      </c>
      <c r="BB618" t="inlineStr">
        <is>
          <t>9780375508622</t>
        </is>
      </c>
      <c r="BC618" t="inlineStr">
        <is>
          <t>32285004784111</t>
        </is>
      </c>
      <c r="BD618" t="inlineStr">
        <is>
          <t>893693548</t>
        </is>
      </c>
    </row>
    <row r="619">
      <c r="A619" t="inlineStr">
        <is>
          <t>No</t>
        </is>
      </c>
      <c r="B619" t="inlineStr">
        <is>
          <t>HV6432 .S64 2002</t>
        </is>
      </c>
      <c r="C619" t="inlineStr">
        <is>
          <t>0                      HV 6432000S  64          2002</t>
        </is>
      </c>
      <c r="D619" t="inlineStr">
        <is>
          <t>Report from ground zero / Dennis Smith.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Smith, Dennis, 1940-</t>
        </is>
      </c>
      <c r="L619" t="inlineStr">
        <is>
          <t>New York : Viking, 2002.</t>
        </is>
      </c>
      <c r="M619" t="inlineStr">
        <is>
          <t>2002</t>
        </is>
      </c>
      <c r="O619" t="inlineStr">
        <is>
          <t>eng</t>
        </is>
      </c>
      <c r="P619" t="inlineStr">
        <is>
          <t>nyu</t>
        </is>
      </c>
      <c r="R619" t="inlineStr">
        <is>
          <t xml:space="preserve">HV </t>
        </is>
      </c>
      <c r="S619" t="n">
        <v>3</v>
      </c>
      <c r="T619" t="n">
        <v>3</v>
      </c>
      <c r="U619" t="inlineStr">
        <is>
          <t>2006-09-12</t>
        </is>
      </c>
      <c r="V619" t="inlineStr">
        <is>
          <t>2006-09-12</t>
        </is>
      </c>
      <c r="W619" t="inlineStr">
        <is>
          <t>2002-04-09</t>
        </is>
      </c>
      <c r="X619" t="inlineStr">
        <is>
          <t>2002-04-09</t>
        </is>
      </c>
      <c r="Y619" t="n">
        <v>1943</v>
      </c>
      <c r="Z619" t="n">
        <v>1890</v>
      </c>
      <c r="AA619" t="n">
        <v>2200</v>
      </c>
      <c r="AB619" t="n">
        <v>29</v>
      </c>
      <c r="AC619" t="n">
        <v>54</v>
      </c>
      <c r="AD619" t="n">
        <v>29</v>
      </c>
      <c r="AE619" t="n">
        <v>38</v>
      </c>
      <c r="AF619" t="n">
        <v>13</v>
      </c>
      <c r="AG619" t="n">
        <v>14</v>
      </c>
      <c r="AH619" t="n">
        <v>4</v>
      </c>
      <c r="AI619" t="n">
        <v>4</v>
      </c>
      <c r="AJ619" t="n">
        <v>10</v>
      </c>
      <c r="AK619" t="n">
        <v>11</v>
      </c>
      <c r="AL619" t="n">
        <v>8</v>
      </c>
      <c r="AM619" t="n">
        <v>15</v>
      </c>
      <c r="AN619" t="n">
        <v>1</v>
      </c>
      <c r="AO619" t="n">
        <v>1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HYPERLINK("https://creighton-primo.hosted.exlibrisgroup.com/primo-explore/search?tab=default_tab&amp;search_scope=EVERYTHING&amp;vid=01CRU&amp;lang=en_US&amp;offset=0&amp;query=any,contains,991003769469702656","Catalog Record")</f>
        <v/>
      </c>
      <c r="AT619">
        <f>HYPERLINK("http://www.worldcat.org/oclc/49285562","WorldCat Record")</f>
        <v/>
      </c>
      <c r="AU619" t="inlineStr">
        <is>
          <t>10068415636:eng</t>
        </is>
      </c>
      <c r="AV619" t="inlineStr">
        <is>
          <t>49285562</t>
        </is>
      </c>
      <c r="AW619" t="inlineStr">
        <is>
          <t>991003769469702656</t>
        </is>
      </c>
      <c r="AX619" t="inlineStr">
        <is>
          <t>991003769469702656</t>
        </is>
      </c>
      <c r="AY619" t="inlineStr">
        <is>
          <t>2256723990002656</t>
        </is>
      </c>
      <c r="AZ619" t="inlineStr">
        <is>
          <t>BOOK</t>
        </is>
      </c>
      <c r="BB619" t="inlineStr">
        <is>
          <t>9780670031160</t>
        </is>
      </c>
      <c r="BC619" t="inlineStr">
        <is>
          <t>32285004478300</t>
        </is>
      </c>
      <c r="BD619" t="inlineStr">
        <is>
          <t>893441710</t>
        </is>
      </c>
    </row>
    <row r="620">
      <c r="A620" t="inlineStr">
        <is>
          <t>No</t>
        </is>
      </c>
      <c r="B620" t="inlineStr">
        <is>
          <t>HV6432 .S87 2006</t>
        </is>
      </c>
      <c r="C620" t="inlineStr">
        <is>
          <t>0                      HV 6432000S  87          2006</t>
        </is>
      </c>
      <c r="D620" t="inlineStr">
        <is>
          <t>The one percent doctrine : deep inside America's pursuit of its enemies since 9/11 / Ron Suskind.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Suskind, Ron.</t>
        </is>
      </c>
      <c r="L620" t="inlineStr">
        <is>
          <t>New York : Simon &amp; Schuster, c2006.</t>
        </is>
      </c>
      <c r="M620" t="inlineStr">
        <is>
          <t>2006</t>
        </is>
      </c>
      <c r="O620" t="inlineStr">
        <is>
          <t>eng</t>
        </is>
      </c>
      <c r="P620" t="inlineStr">
        <is>
          <t>nyu</t>
        </is>
      </c>
      <c r="R620" t="inlineStr">
        <is>
          <t xml:space="preserve">HV </t>
        </is>
      </c>
      <c r="S620" t="n">
        <v>1</v>
      </c>
      <c r="T620" t="n">
        <v>1</v>
      </c>
      <c r="U620" t="inlineStr">
        <is>
          <t>2006-07-18</t>
        </is>
      </c>
      <c r="V620" t="inlineStr">
        <is>
          <t>2006-07-18</t>
        </is>
      </c>
      <c r="W620" t="inlineStr">
        <is>
          <t>2006-07-18</t>
        </is>
      </c>
      <c r="X620" t="inlineStr">
        <is>
          <t>2006-07-18</t>
        </is>
      </c>
      <c r="Y620" t="n">
        <v>2050</v>
      </c>
      <c r="Z620" t="n">
        <v>1914</v>
      </c>
      <c r="AA620" t="n">
        <v>2043</v>
      </c>
      <c r="AB620" t="n">
        <v>20</v>
      </c>
      <c r="AC620" t="n">
        <v>22</v>
      </c>
      <c r="AD620" t="n">
        <v>42</v>
      </c>
      <c r="AE620" t="n">
        <v>43</v>
      </c>
      <c r="AF620" t="n">
        <v>17</v>
      </c>
      <c r="AG620" t="n">
        <v>17</v>
      </c>
      <c r="AH620" t="n">
        <v>8</v>
      </c>
      <c r="AI620" t="n">
        <v>8</v>
      </c>
      <c r="AJ620" t="n">
        <v>18</v>
      </c>
      <c r="AK620" t="n">
        <v>18</v>
      </c>
      <c r="AL620" t="n">
        <v>5</v>
      </c>
      <c r="AM620" t="n">
        <v>6</v>
      </c>
      <c r="AN620" t="n">
        <v>4</v>
      </c>
      <c r="AO620" t="n">
        <v>4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HYPERLINK("https://creighton-primo.hosted.exlibrisgroup.com/primo-explore/search?tab=default_tab&amp;search_scope=EVERYTHING&amp;vid=01CRU&amp;lang=en_US&amp;offset=0&amp;query=any,contains,991004848899702656","Catalog Record")</f>
        <v/>
      </c>
      <c r="AT620">
        <f>HYPERLINK("http://www.worldcat.org/oclc/70055568","WorldCat Record")</f>
        <v/>
      </c>
      <c r="AU620" t="inlineStr">
        <is>
          <t>9349999367:eng</t>
        </is>
      </c>
      <c r="AV620" t="inlineStr">
        <is>
          <t>70055568</t>
        </is>
      </c>
      <c r="AW620" t="inlineStr">
        <is>
          <t>991004848899702656</t>
        </is>
      </c>
      <c r="AX620" t="inlineStr">
        <is>
          <t>991004848899702656</t>
        </is>
      </c>
      <c r="AY620" t="inlineStr">
        <is>
          <t>2270747730002656</t>
        </is>
      </c>
      <c r="AZ620" t="inlineStr">
        <is>
          <t>BOOK</t>
        </is>
      </c>
      <c r="BB620" t="inlineStr">
        <is>
          <t>9780743271097</t>
        </is>
      </c>
      <c r="BC620" t="inlineStr">
        <is>
          <t>32285005195408</t>
        </is>
      </c>
      <c r="BD620" t="inlineStr">
        <is>
          <t>893446422</t>
        </is>
      </c>
    </row>
    <row r="621">
      <c r="A621" t="inlineStr">
        <is>
          <t>No</t>
        </is>
      </c>
      <c r="B621" t="inlineStr">
        <is>
          <t>HV6432 .S874 2008</t>
        </is>
      </c>
      <c r="C621" t="inlineStr">
        <is>
          <t>0                      HV 6432000S  874         2008</t>
        </is>
      </c>
      <c r="D621" t="inlineStr">
        <is>
          <t>The way of the world : a story of truth and hope in an age of extremism / Ron Suskind.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Suskind, Ron.</t>
        </is>
      </c>
      <c r="L621" t="inlineStr">
        <is>
          <t>New York : Harper, c2008.</t>
        </is>
      </c>
      <c r="M621" t="inlineStr">
        <is>
          <t>2008</t>
        </is>
      </c>
      <c r="N621" t="inlineStr">
        <is>
          <t>1st ed.</t>
        </is>
      </c>
      <c r="O621" t="inlineStr">
        <is>
          <t>eng</t>
        </is>
      </c>
      <c r="P621" t="inlineStr">
        <is>
          <t>nyu</t>
        </is>
      </c>
      <c r="R621" t="inlineStr">
        <is>
          <t xml:space="preserve">HV </t>
        </is>
      </c>
      <c r="S621" t="n">
        <v>3</v>
      </c>
      <c r="T621" t="n">
        <v>3</v>
      </c>
      <c r="U621" t="inlineStr">
        <is>
          <t>2008-10-09</t>
        </is>
      </c>
      <c r="V621" t="inlineStr">
        <is>
          <t>2008-10-09</t>
        </is>
      </c>
      <c r="W621" t="inlineStr">
        <is>
          <t>2008-09-24</t>
        </is>
      </c>
      <c r="X621" t="inlineStr">
        <is>
          <t>2008-09-24</t>
        </is>
      </c>
      <c r="Y621" t="n">
        <v>1600</v>
      </c>
      <c r="Z621" t="n">
        <v>1537</v>
      </c>
      <c r="AA621" t="n">
        <v>1598</v>
      </c>
      <c r="AB621" t="n">
        <v>14</v>
      </c>
      <c r="AC621" t="n">
        <v>14</v>
      </c>
      <c r="AD621" t="n">
        <v>26</v>
      </c>
      <c r="AE621" t="n">
        <v>26</v>
      </c>
      <c r="AF621" t="n">
        <v>10</v>
      </c>
      <c r="AG621" t="n">
        <v>10</v>
      </c>
      <c r="AH621" t="n">
        <v>4</v>
      </c>
      <c r="AI621" t="n">
        <v>4</v>
      </c>
      <c r="AJ621" t="n">
        <v>11</v>
      </c>
      <c r="AK621" t="n">
        <v>11</v>
      </c>
      <c r="AL621" t="n">
        <v>4</v>
      </c>
      <c r="AM621" t="n">
        <v>4</v>
      </c>
      <c r="AN621" t="n">
        <v>2</v>
      </c>
      <c r="AO621" t="n">
        <v>2</v>
      </c>
      <c r="AP621" t="inlineStr">
        <is>
          <t>No</t>
        </is>
      </c>
      <c r="AQ621" t="inlineStr">
        <is>
          <t>No</t>
        </is>
      </c>
      <c r="AS621">
        <f>HYPERLINK("https://creighton-primo.hosted.exlibrisgroup.com/primo-explore/search?tab=default_tab&amp;search_scope=EVERYTHING&amp;vid=01CRU&amp;lang=en_US&amp;offset=0&amp;query=any,contains,991005259279702656","Catalog Record")</f>
        <v/>
      </c>
      <c r="AT621">
        <f>HYPERLINK("http://www.worldcat.org/oclc/232118567","WorldCat Record")</f>
        <v/>
      </c>
      <c r="AU621" t="inlineStr">
        <is>
          <t>793893583:eng</t>
        </is>
      </c>
      <c r="AV621" t="inlineStr">
        <is>
          <t>232118567</t>
        </is>
      </c>
      <c r="AW621" t="inlineStr">
        <is>
          <t>991005259279702656</t>
        </is>
      </c>
      <c r="AX621" t="inlineStr">
        <is>
          <t>991005259279702656</t>
        </is>
      </c>
      <c r="AY621" t="inlineStr">
        <is>
          <t>2268806250002656</t>
        </is>
      </c>
      <c r="AZ621" t="inlineStr">
        <is>
          <t>BOOK</t>
        </is>
      </c>
      <c r="BB621" t="inlineStr">
        <is>
          <t>9780061430626</t>
        </is>
      </c>
      <c r="BC621" t="inlineStr">
        <is>
          <t>32285005460158</t>
        </is>
      </c>
      <c r="BD621" t="inlineStr">
        <is>
          <t>893808090</t>
        </is>
      </c>
    </row>
    <row r="622">
      <c r="A622" t="inlineStr">
        <is>
          <t>No</t>
        </is>
      </c>
      <c r="B622" t="inlineStr">
        <is>
          <t>HV6432 .T43 2007</t>
        </is>
      </c>
      <c r="C622" t="inlineStr">
        <is>
          <t>0                      HV 6432000T  43          2007</t>
        </is>
      </c>
      <c r="D622" t="inlineStr">
        <is>
          <t>The jihad next door : the Lackawanna six and rough justice in an age of terror / Dina Temple-Raston.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Temple-Raston, Dina.</t>
        </is>
      </c>
      <c r="L622" t="inlineStr">
        <is>
          <t>New York : PublicAffairs, c2007.</t>
        </is>
      </c>
      <c r="M622" t="inlineStr">
        <is>
          <t>2007</t>
        </is>
      </c>
      <c r="N622" t="inlineStr">
        <is>
          <t>1st ed.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HV </t>
        </is>
      </c>
      <c r="S622" t="n">
        <v>3</v>
      </c>
      <c r="T622" t="n">
        <v>3</v>
      </c>
      <c r="U622" t="inlineStr">
        <is>
          <t>2010-07-19</t>
        </is>
      </c>
      <c r="V622" t="inlineStr">
        <is>
          <t>2010-07-19</t>
        </is>
      </c>
      <c r="W622" t="inlineStr">
        <is>
          <t>2007-10-31</t>
        </is>
      </c>
      <c r="X622" t="inlineStr">
        <is>
          <t>2007-10-31</t>
        </is>
      </c>
      <c r="Y622" t="n">
        <v>518</v>
      </c>
      <c r="Z622" t="n">
        <v>496</v>
      </c>
      <c r="AA622" t="n">
        <v>506</v>
      </c>
      <c r="AB622" t="n">
        <v>2</v>
      </c>
      <c r="AC622" t="n">
        <v>2</v>
      </c>
      <c r="AD622" t="n">
        <v>12</v>
      </c>
      <c r="AE622" t="n">
        <v>12</v>
      </c>
      <c r="AF622" t="n">
        <v>3</v>
      </c>
      <c r="AG622" t="n">
        <v>3</v>
      </c>
      <c r="AH622" t="n">
        <v>2</v>
      </c>
      <c r="AI622" t="n">
        <v>2</v>
      </c>
      <c r="AJ622" t="n">
        <v>9</v>
      </c>
      <c r="AK622" t="n">
        <v>9</v>
      </c>
      <c r="AL622" t="n">
        <v>1</v>
      </c>
      <c r="AM622" t="n">
        <v>1</v>
      </c>
      <c r="AN622" t="n">
        <v>1</v>
      </c>
      <c r="AO622" t="n">
        <v>1</v>
      </c>
      <c r="AP622" t="inlineStr">
        <is>
          <t>No</t>
        </is>
      </c>
      <c r="AQ622" t="inlineStr">
        <is>
          <t>No</t>
        </is>
      </c>
      <c r="AS622">
        <f>HYPERLINK("https://creighton-primo.hosted.exlibrisgroup.com/primo-explore/search?tab=default_tab&amp;search_scope=EVERYTHING&amp;vid=01CRU&amp;lang=en_US&amp;offset=0&amp;query=any,contains,991005133119702656","Catalog Record")</f>
        <v/>
      </c>
      <c r="AT622">
        <f>HYPERLINK("http://www.worldcat.org/oclc/170613498","WorldCat Record")</f>
        <v/>
      </c>
      <c r="AU622" t="inlineStr">
        <is>
          <t>1167339542:eng</t>
        </is>
      </c>
      <c r="AV622" t="inlineStr">
        <is>
          <t>170613498</t>
        </is>
      </c>
      <c r="AW622" t="inlineStr">
        <is>
          <t>991005133119702656</t>
        </is>
      </c>
      <c r="AX622" t="inlineStr">
        <is>
          <t>991005133119702656</t>
        </is>
      </c>
      <c r="AY622" t="inlineStr">
        <is>
          <t>2259934080002656</t>
        </is>
      </c>
      <c r="AZ622" t="inlineStr">
        <is>
          <t>BOOK</t>
        </is>
      </c>
      <c r="BB622" t="inlineStr">
        <is>
          <t>9781586484033</t>
        </is>
      </c>
      <c r="BC622" t="inlineStr">
        <is>
          <t>32285005363261</t>
        </is>
      </c>
      <c r="BD622" t="inlineStr">
        <is>
          <t>893248422</t>
        </is>
      </c>
    </row>
    <row r="623">
      <c r="A623" t="inlineStr">
        <is>
          <t>No</t>
        </is>
      </c>
      <c r="B623" t="inlineStr">
        <is>
          <t>HV6432 .T4736 2003</t>
        </is>
      </c>
      <c r="C623" t="inlineStr">
        <is>
          <t>0                      HV 6432000T  4736        2003</t>
        </is>
      </c>
      <c r="D623" t="inlineStr">
        <is>
          <t>Terrorist hunter : the extraordinary story of a woman who went undercover to infiltrate the radical Islamic groups operating in America / Anonymous.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L623" t="inlineStr">
        <is>
          <t>New York : Ecco, c2003.</t>
        </is>
      </c>
      <c r="M623" t="inlineStr">
        <is>
          <t>2003</t>
        </is>
      </c>
      <c r="N623" t="inlineStr">
        <is>
          <t>1st ed.</t>
        </is>
      </c>
      <c r="O623" t="inlineStr">
        <is>
          <t>eng</t>
        </is>
      </c>
      <c r="P623" t="inlineStr">
        <is>
          <t>nyu</t>
        </is>
      </c>
      <c r="R623" t="inlineStr">
        <is>
          <t xml:space="preserve">HV </t>
        </is>
      </c>
      <c r="S623" t="n">
        <v>3</v>
      </c>
      <c r="T623" t="n">
        <v>3</v>
      </c>
      <c r="U623" t="inlineStr">
        <is>
          <t>2005-11-12</t>
        </is>
      </c>
      <c r="V623" t="inlineStr">
        <is>
          <t>2005-11-12</t>
        </is>
      </c>
      <c r="W623" t="inlineStr">
        <is>
          <t>2003-07-16</t>
        </is>
      </c>
      <c r="X623" t="inlineStr">
        <is>
          <t>2003-07-16</t>
        </is>
      </c>
      <c r="Y623" t="n">
        <v>639</v>
      </c>
      <c r="Z623" t="n">
        <v>616</v>
      </c>
      <c r="AA623" t="n">
        <v>621</v>
      </c>
      <c r="AB623" t="n">
        <v>5</v>
      </c>
      <c r="AC623" t="n">
        <v>5</v>
      </c>
      <c r="AD623" t="n">
        <v>9</v>
      </c>
      <c r="AE623" t="n">
        <v>9</v>
      </c>
      <c r="AF623" t="n">
        <v>4</v>
      </c>
      <c r="AG623" t="n">
        <v>4</v>
      </c>
      <c r="AH623" t="n">
        <v>2</v>
      </c>
      <c r="AI623" t="n">
        <v>2</v>
      </c>
      <c r="AJ623" t="n">
        <v>4</v>
      </c>
      <c r="AK623" t="n">
        <v>4</v>
      </c>
      <c r="AL623" t="n">
        <v>1</v>
      </c>
      <c r="AM623" t="n">
        <v>1</v>
      </c>
      <c r="AN623" t="n">
        <v>1</v>
      </c>
      <c r="AO623" t="n">
        <v>1</v>
      </c>
      <c r="AP623" t="inlineStr">
        <is>
          <t>No</t>
        </is>
      </c>
      <c r="AQ623" t="inlineStr">
        <is>
          <t>No</t>
        </is>
      </c>
      <c r="AS623">
        <f>HYPERLINK("https://creighton-primo.hosted.exlibrisgroup.com/primo-explore/search?tab=default_tab&amp;search_scope=EVERYTHING&amp;vid=01CRU&amp;lang=en_US&amp;offset=0&amp;query=any,contains,991004076699702656","Catalog Record")</f>
        <v/>
      </c>
      <c r="AT623">
        <f>HYPERLINK("http://www.worldcat.org/oclc/51855504","WorldCat Record")</f>
        <v/>
      </c>
      <c r="AU623" t="inlineStr">
        <is>
          <t>131907897:eng</t>
        </is>
      </c>
      <c r="AV623" t="inlineStr">
        <is>
          <t>51855504</t>
        </is>
      </c>
      <c r="AW623" t="inlineStr">
        <is>
          <t>991004076699702656</t>
        </is>
      </c>
      <c r="AX623" t="inlineStr">
        <is>
          <t>991004076699702656</t>
        </is>
      </c>
      <c r="AY623" t="inlineStr">
        <is>
          <t>2272781800002656</t>
        </is>
      </c>
      <c r="AZ623" t="inlineStr">
        <is>
          <t>BOOK</t>
        </is>
      </c>
      <c r="BB623" t="inlineStr">
        <is>
          <t>9780060528195</t>
        </is>
      </c>
      <c r="BC623" t="inlineStr">
        <is>
          <t>32285004755954</t>
        </is>
      </c>
      <c r="BD623" t="inlineStr">
        <is>
          <t>893800559</t>
        </is>
      </c>
    </row>
    <row r="624">
      <c r="A624" t="inlineStr">
        <is>
          <t>No</t>
        </is>
      </c>
      <c r="B624" t="inlineStr">
        <is>
          <t>HV6432 .U5 2002</t>
        </is>
      </c>
      <c r="C624" t="inlineStr">
        <is>
          <t>0                      HV 6432000U  5           2002</t>
        </is>
      </c>
      <c r="D624" t="inlineStr">
        <is>
          <t>Understanding September 11 / Craig Calhoun, Paul Price, and Ashley Timmer, editors.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New York : New Press, c2002.</t>
        </is>
      </c>
      <c r="M624" t="inlineStr">
        <is>
          <t>2002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HV </t>
        </is>
      </c>
      <c r="S624" t="n">
        <v>6</v>
      </c>
      <c r="T624" t="n">
        <v>6</v>
      </c>
      <c r="U624" t="inlineStr">
        <is>
          <t>2005-03-29</t>
        </is>
      </c>
      <c r="V624" t="inlineStr">
        <is>
          <t>2005-03-29</t>
        </is>
      </c>
      <c r="W624" t="inlineStr">
        <is>
          <t>2003-07-15</t>
        </is>
      </c>
      <c r="X624" t="inlineStr">
        <is>
          <t>2003-07-15</t>
        </is>
      </c>
      <c r="Y624" t="n">
        <v>822</v>
      </c>
      <c r="Z624" t="n">
        <v>704</v>
      </c>
      <c r="AA624" t="n">
        <v>704</v>
      </c>
      <c r="AB624" t="n">
        <v>3</v>
      </c>
      <c r="AC624" t="n">
        <v>3</v>
      </c>
      <c r="AD624" t="n">
        <v>27</v>
      </c>
      <c r="AE624" t="n">
        <v>27</v>
      </c>
      <c r="AF624" t="n">
        <v>10</v>
      </c>
      <c r="AG624" t="n">
        <v>10</v>
      </c>
      <c r="AH624" t="n">
        <v>7</v>
      </c>
      <c r="AI624" t="n">
        <v>7</v>
      </c>
      <c r="AJ624" t="n">
        <v>13</v>
      </c>
      <c r="AK624" t="n">
        <v>13</v>
      </c>
      <c r="AL624" t="n">
        <v>2</v>
      </c>
      <c r="AM624" t="n">
        <v>2</v>
      </c>
      <c r="AN624" t="n">
        <v>1</v>
      </c>
      <c r="AO624" t="n">
        <v>1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HYPERLINK("https://creighton-primo.hosted.exlibrisgroup.com/primo-explore/search?tab=default_tab&amp;search_scope=EVERYTHING&amp;vid=01CRU&amp;lang=en_US&amp;offset=0&amp;query=any,contains,991003849009702656","Catalog Record")</f>
        <v/>
      </c>
      <c r="AT624">
        <f>HYPERLINK("http://www.worldcat.org/oclc/50079920","WorldCat Record")</f>
        <v/>
      </c>
      <c r="AU624" t="inlineStr">
        <is>
          <t>350148908:eng</t>
        </is>
      </c>
      <c r="AV624" t="inlineStr">
        <is>
          <t>50079920</t>
        </is>
      </c>
      <c r="AW624" t="inlineStr">
        <is>
          <t>991003849009702656</t>
        </is>
      </c>
      <c r="AX624" t="inlineStr">
        <is>
          <t>991003849009702656</t>
        </is>
      </c>
      <c r="AY624" t="inlineStr">
        <is>
          <t>2269913550002656</t>
        </is>
      </c>
      <c r="AZ624" t="inlineStr">
        <is>
          <t>BOOK</t>
        </is>
      </c>
      <c r="BB624" t="inlineStr">
        <is>
          <t>9781565847743</t>
        </is>
      </c>
      <c r="BC624" t="inlineStr">
        <is>
          <t>32285004755756</t>
        </is>
      </c>
      <c r="BD624" t="inlineStr">
        <is>
          <t>893775262</t>
        </is>
      </c>
    </row>
    <row r="625">
      <c r="A625" t="inlineStr">
        <is>
          <t>No</t>
        </is>
      </c>
      <c r="B625" t="inlineStr">
        <is>
          <t>HV6432 .U53 2005</t>
        </is>
      </c>
      <c r="C625" t="inlineStr">
        <is>
          <t>0                      HV 6432000U  53          2005</t>
        </is>
      </c>
      <c r="D625" t="inlineStr">
        <is>
          <t>Understanding the war on terror / [edited by James F. Hoge, Jr. &amp; Gideon Rose]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L625" t="inlineStr">
        <is>
          <t>New York : Foreign Affairs/Council on Foreign Relations : distributed by W.W. Norton, c2005.</t>
        </is>
      </c>
      <c r="M625" t="inlineStr">
        <is>
          <t>2005</t>
        </is>
      </c>
      <c r="O625" t="inlineStr">
        <is>
          <t>eng</t>
        </is>
      </c>
      <c r="P625" t="inlineStr">
        <is>
          <t>nyu</t>
        </is>
      </c>
      <c r="R625" t="inlineStr">
        <is>
          <t xml:space="preserve">HV </t>
        </is>
      </c>
      <c r="S625" t="n">
        <v>4</v>
      </c>
      <c r="T625" t="n">
        <v>4</v>
      </c>
      <c r="U625" t="inlineStr">
        <is>
          <t>2007-09-25</t>
        </is>
      </c>
      <c r="V625" t="inlineStr">
        <is>
          <t>2007-09-25</t>
        </is>
      </c>
      <c r="W625" t="inlineStr">
        <is>
          <t>2005-10-04</t>
        </is>
      </c>
      <c r="X625" t="inlineStr">
        <is>
          <t>2005-10-04</t>
        </is>
      </c>
      <c r="Y625" t="n">
        <v>196</v>
      </c>
      <c r="Z625" t="n">
        <v>159</v>
      </c>
      <c r="AA625" t="n">
        <v>164</v>
      </c>
      <c r="AB625" t="n">
        <v>1</v>
      </c>
      <c r="AC625" t="n">
        <v>1</v>
      </c>
      <c r="AD625" t="n">
        <v>9</v>
      </c>
      <c r="AE625" t="n">
        <v>9</v>
      </c>
      <c r="AF625" t="n">
        <v>2</v>
      </c>
      <c r="AG625" t="n">
        <v>2</v>
      </c>
      <c r="AH625" t="n">
        <v>3</v>
      </c>
      <c r="AI625" t="n">
        <v>3</v>
      </c>
      <c r="AJ625" t="n">
        <v>4</v>
      </c>
      <c r="AK625" t="n">
        <v>4</v>
      </c>
      <c r="AL625" t="n">
        <v>0</v>
      </c>
      <c r="AM625" t="n">
        <v>0</v>
      </c>
      <c r="AN625" t="n">
        <v>2</v>
      </c>
      <c r="AO625" t="n">
        <v>2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HYPERLINK("https://creighton-primo.hosted.exlibrisgroup.com/primo-explore/search?tab=default_tab&amp;search_scope=EVERYTHING&amp;vid=01CRU&amp;lang=en_US&amp;offset=0&amp;query=any,contains,991004637619702656","Catalog Record")</f>
        <v/>
      </c>
      <c r="AT625">
        <f>HYPERLINK("http://www.worldcat.org/oclc/60342408","WorldCat Record")</f>
        <v/>
      </c>
      <c r="AU625" t="inlineStr">
        <is>
          <t>367935929:eng</t>
        </is>
      </c>
      <c r="AV625" t="inlineStr">
        <is>
          <t>60342408</t>
        </is>
      </c>
      <c r="AW625" t="inlineStr">
        <is>
          <t>991004637619702656</t>
        </is>
      </c>
      <c r="AX625" t="inlineStr">
        <is>
          <t>991004637619702656</t>
        </is>
      </c>
      <c r="AY625" t="inlineStr">
        <is>
          <t>2255177850002656</t>
        </is>
      </c>
      <c r="AZ625" t="inlineStr">
        <is>
          <t>BOOK</t>
        </is>
      </c>
      <c r="BB625" t="inlineStr">
        <is>
          <t>9780876093474</t>
        </is>
      </c>
      <c r="BC625" t="inlineStr">
        <is>
          <t>32285005087142</t>
        </is>
      </c>
      <c r="BD625" t="inlineStr">
        <is>
          <t>893606277</t>
        </is>
      </c>
    </row>
    <row r="626">
      <c r="A626" t="inlineStr">
        <is>
          <t>No</t>
        </is>
      </c>
      <c r="B626" t="inlineStr">
        <is>
          <t>HV6432 .W46 2002</t>
        </is>
      </c>
      <c r="C626" t="inlineStr">
        <is>
          <t>0                      HV 6432000W  46          2002</t>
        </is>
      </c>
      <c r="D626" t="inlineStr">
        <is>
          <t>What we saw / CBS News ; with an introduction by Dan Rather.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L626" t="inlineStr">
        <is>
          <t>New York : Simon &amp; Schuster, c2002.</t>
        </is>
      </c>
      <c r="M626" t="inlineStr">
        <is>
          <t>2002</t>
        </is>
      </c>
      <c r="O626" t="inlineStr">
        <is>
          <t>eng</t>
        </is>
      </c>
      <c r="P626" t="inlineStr">
        <is>
          <t>nyu</t>
        </is>
      </c>
      <c r="R626" t="inlineStr">
        <is>
          <t xml:space="preserve">HV </t>
        </is>
      </c>
      <c r="S626" t="n">
        <v>4</v>
      </c>
      <c r="T626" t="n">
        <v>4</v>
      </c>
      <c r="U626" t="inlineStr">
        <is>
          <t>2004-12-11</t>
        </is>
      </c>
      <c r="V626" t="inlineStr">
        <is>
          <t>2004-12-11</t>
        </is>
      </c>
      <c r="W626" t="inlineStr">
        <is>
          <t>2003-04-21</t>
        </is>
      </c>
      <c r="X626" t="inlineStr">
        <is>
          <t>2003-04-21</t>
        </is>
      </c>
      <c r="Y626" t="n">
        <v>1264</v>
      </c>
      <c r="Z626" t="n">
        <v>1220</v>
      </c>
      <c r="AA626" t="n">
        <v>1674</v>
      </c>
      <c r="AB626" t="n">
        <v>20</v>
      </c>
      <c r="AC626" t="n">
        <v>23</v>
      </c>
      <c r="AD626" t="n">
        <v>22</v>
      </c>
      <c r="AE626" t="n">
        <v>27</v>
      </c>
      <c r="AF626" t="n">
        <v>9</v>
      </c>
      <c r="AG626" t="n">
        <v>12</v>
      </c>
      <c r="AH626" t="n">
        <v>3</v>
      </c>
      <c r="AI626" t="n">
        <v>5</v>
      </c>
      <c r="AJ626" t="n">
        <v>6</v>
      </c>
      <c r="AK626" t="n">
        <v>7</v>
      </c>
      <c r="AL626" t="n">
        <v>5</v>
      </c>
      <c r="AM626" t="n">
        <v>5</v>
      </c>
      <c r="AN626" t="n">
        <v>2</v>
      </c>
      <c r="AO626" t="n">
        <v>2</v>
      </c>
      <c r="AP626" t="inlineStr">
        <is>
          <t>No</t>
        </is>
      </c>
      <c r="AQ626" t="inlineStr">
        <is>
          <t>No</t>
        </is>
      </c>
      <c r="AS626">
        <f>HYPERLINK("https://creighton-primo.hosted.exlibrisgroup.com/primo-explore/search?tab=default_tab&amp;search_scope=EVERYTHING&amp;vid=01CRU&amp;lang=en_US&amp;offset=0&amp;query=any,contains,991003898949702656","Catalog Record")</f>
        <v/>
      </c>
      <c r="AT626">
        <f>HYPERLINK("http://www.worldcat.org/oclc/50028610","WorldCat Record")</f>
        <v/>
      </c>
      <c r="AU626" t="inlineStr">
        <is>
          <t>56828490:eng</t>
        </is>
      </c>
      <c r="AV626" t="inlineStr">
        <is>
          <t>50028610</t>
        </is>
      </c>
      <c r="AW626" t="inlineStr">
        <is>
          <t>991003898949702656</t>
        </is>
      </c>
      <c r="AX626" t="inlineStr">
        <is>
          <t>991003898949702656</t>
        </is>
      </c>
      <c r="AY626" t="inlineStr">
        <is>
          <t>2267423170002656</t>
        </is>
      </c>
      <c r="AZ626" t="inlineStr">
        <is>
          <t>BOOK</t>
        </is>
      </c>
      <c r="BB626" t="inlineStr">
        <is>
          <t>9780743241908</t>
        </is>
      </c>
      <c r="BC626" t="inlineStr">
        <is>
          <t>32285004736822</t>
        </is>
      </c>
      <c r="BD626" t="inlineStr">
        <is>
          <t>893506128</t>
        </is>
      </c>
    </row>
    <row r="627">
      <c r="A627" t="inlineStr">
        <is>
          <t>No</t>
        </is>
      </c>
      <c r="B627" t="inlineStr">
        <is>
          <t>HV6432 .Y66 2006</t>
        </is>
      </c>
      <c r="C627" t="inlineStr">
        <is>
          <t>0                      HV 6432000Y  66          2006</t>
        </is>
      </c>
      <c r="D627" t="inlineStr">
        <is>
          <t>War by other means : an insider's account of the war on terror / John Yoo.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Yoo, John.</t>
        </is>
      </c>
      <c r="L627" t="inlineStr">
        <is>
          <t>New York : Atlantic Monthly Press : Distributed by Publishers Group West, c2006.</t>
        </is>
      </c>
      <c r="M627" t="inlineStr">
        <is>
          <t>2006</t>
        </is>
      </c>
      <c r="N627" t="inlineStr">
        <is>
          <t>1st ed.</t>
        </is>
      </c>
      <c r="O627" t="inlineStr">
        <is>
          <t>eng</t>
        </is>
      </c>
      <c r="P627" t="inlineStr">
        <is>
          <t>nyu</t>
        </is>
      </c>
      <c r="R627" t="inlineStr">
        <is>
          <t xml:space="preserve">HV </t>
        </is>
      </c>
      <c r="S627" t="n">
        <v>1</v>
      </c>
      <c r="T627" t="n">
        <v>1</v>
      </c>
      <c r="U627" t="inlineStr">
        <is>
          <t>2007-01-17</t>
        </is>
      </c>
      <c r="V627" t="inlineStr">
        <is>
          <t>2007-01-17</t>
        </is>
      </c>
      <c r="W627" t="inlineStr">
        <is>
          <t>2007-01-17</t>
        </is>
      </c>
      <c r="X627" t="inlineStr">
        <is>
          <t>2007-01-17</t>
        </is>
      </c>
      <c r="Y627" t="n">
        <v>677</v>
      </c>
      <c r="Z627" t="n">
        <v>623</v>
      </c>
      <c r="AA627" t="n">
        <v>644</v>
      </c>
      <c r="AB627" t="n">
        <v>4</v>
      </c>
      <c r="AC627" t="n">
        <v>4</v>
      </c>
      <c r="AD627" t="n">
        <v>30</v>
      </c>
      <c r="AE627" t="n">
        <v>31</v>
      </c>
      <c r="AF627" t="n">
        <v>12</v>
      </c>
      <c r="AG627" t="n">
        <v>13</v>
      </c>
      <c r="AH627" t="n">
        <v>5</v>
      </c>
      <c r="AI627" t="n">
        <v>6</v>
      </c>
      <c r="AJ627" t="n">
        <v>13</v>
      </c>
      <c r="AK627" t="n">
        <v>13</v>
      </c>
      <c r="AL627" t="n">
        <v>3</v>
      </c>
      <c r="AM627" t="n">
        <v>3</v>
      </c>
      <c r="AN627" t="n">
        <v>5</v>
      </c>
      <c r="AO627" t="n">
        <v>5</v>
      </c>
      <c r="AP627" t="inlineStr">
        <is>
          <t>No</t>
        </is>
      </c>
      <c r="AQ627" t="inlineStr">
        <is>
          <t>No</t>
        </is>
      </c>
      <c r="AS627">
        <f>HYPERLINK("https://creighton-primo.hosted.exlibrisgroup.com/primo-explore/search?tab=default_tab&amp;search_scope=EVERYTHING&amp;vid=01CRU&amp;lang=en_US&amp;offset=0&amp;query=any,contains,991005004749702656","Catalog Record")</f>
        <v/>
      </c>
      <c r="AT627">
        <f>HYPERLINK("http://www.worldcat.org/oclc/70176955","WorldCat Record")</f>
        <v/>
      </c>
      <c r="AU627" t="inlineStr">
        <is>
          <t>197478978:eng</t>
        </is>
      </c>
      <c r="AV627" t="inlineStr">
        <is>
          <t>70176955</t>
        </is>
      </c>
      <c r="AW627" t="inlineStr">
        <is>
          <t>991005004749702656</t>
        </is>
      </c>
      <c r="AX627" t="inlineStr">
        <is>
          <t>991005004749702656</t>
        </is>
      </c>
      <c r="AY627" t="inlineStr">
        <is>
          <t>2271808040002656</t>
        </is>
      </c>
      <c r="AZ627" t="inlineStr">
        <is>
          <t>BOOK</t>
        </is>
      </c>
      <c r="BB627" t="inlineStr">
        <is>
          <t>9780871139450</t>
        </is>
      </c>
      <c r="BC627" t="inlineStr">
        <is>
          <t>32285005270904</t>
        </is>
      </c>
      <c r="BD627" t="inlineStr">
        <is>
          <t>893430708</t>
        </is>
      </c>
    </row>
    <row r="628">
      <c r="A628" t="inlineStr">
        <is>
          <t>No</t>
        </is>
      </c>
      <c r="B628" t="inlineStr">
        <is>
          <t>HV6432.4 .B35 2005</t>
        </is>
      </c>
      <c r="C628" t="inlineStr">
        <is>
          <t>0                      HV 6432400B  35          2005</t>
        </is>
      </c>
      <c r="D628" t="inlineStr">
        <is>
          <t>U.S. homeland security : a reference handbook / Howard Ball.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K628" t="inlineStr">
        <is>
          <t>Ball, Howard, 1937-</t>
        </is>
      </c>
      <c r="L628" t="inlineStr">
        <is>
          <t>Santa Barbara, Calif. : ABC-CLIO, [2005].</t>
        </is>
      </c>
      <c r="M628" t="inlineStr">
        <is>
          <t>2005</t>
        </is>
      </c>
      <c r="O628" t="inlineStr">
        <is>
          <t>eng</t>
        </is>
      </c>
      <c r="P628" t="inlineStr">
        <is>
          <t>cau</t>
        </is>
      </c>
      <c r="Q628" t="inlineStr">
        <is>
          <t>Contemporary world issues</t>
        </is>
      </c>
      <c r="R628" t="inlineStr">
        <is>
          <t xml:space="preserve">HV </t>
        </is>
      </c>
      <c r="S628" t="n">
        <v>3</v>
      </c>
      <c r="T628" t="n">
        <v>3</v>
      </c>
      <c r="U628" t="inlineStr">
        <is>
          <t>2010-09-08</t>
        </is>
      </c>
      <c r="V628" t="inlineStr">
        <is>
          <t>2010-09-08</t>
        </is>
      </c>
      <c r="W628" t="inlineStr">
        <is>
          <t>2005-10-27</t>
        </is>
      </c>
      <c r="X628" t="inlineStr">
        <is>
          <t>2005-10-27</t>
        </is>
      </c>
      <c r="Y628" t="n">
        <v>542</v>
      </c>
      <c r="Z628" t="n">
        <v>524</v>
      </c>
      <c r="AA628" t="n">
        <v>913</v>
      </c>
      <c r="AB628" t="n">
        <v>4</v>
      </c>
      <c r="AC628" t="n">
        <v>7</v>
      </c>
      <c r="AD628" t="n">
        <v>13</v>
      </c>
      <c r="AE628" t="n">
        <v>25</v>
      </c>
      <c r="AF628" t="n">
        <v>3</v>
      </c>
      <c r="AG628" t="n">
        <v>9</v>
      </c>
      <c r="AH628" t="n">
        <v>1</v>
      </c>
      <c r="AI628" t="n">
        <v>5</v>
      </c>
      <c r="AJ628" t="n">
        <v>4</v>
      </c>
      <c r="AK628" t="n">
        <v>10</v>
      </c>
      <c r="AL628" t="n">
        <v>2</v>
      </c>
      <c r="AM628" t="n">
        <v>5</v>
      </c>
      <c r="AN628" t="n">
        <v>5</v>
      </c>
      <c r="AO628" t="n">
        <v>5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HYPERLINK("https://creighton-primo.hosted.exlibrisgroup.com/primo-explore/search?tab=default_tab&amp;search_scope=EVERYTHING&amp;vid=01CRU&amp;lang=en_US&amp;offset=0&amp;query=any,contains,991004680679702656","Catalog Record")</f>
        <v/>
      </c>
      <c r="AT628">
        <f>HYPERLINK("http://www.worldcat.org/oclc/61179567","WorldCat Record")</f>
        <v/>
      </c>
      <c r="AU628" t="inlineStr">
        <is>
          <t>1091874:eng</t>
        </is>
      </c>
      <c r="AV628" t="inlineStr">
        <is>
          <t>61179567</t>
        </is>
      </c>
      <c r="AW628" t="inlineStr">
        <is>
          <t>991004680679702656</t>
        </is>
      </c>
      <c r="AX628" t="inlineStr">
        <is>
          <t>991004680679702656</t>
        </is>
      </c>
      <c r="AY628" t="inlineStr">
        <is>
          <t>2265404620002656</t>
        </is>
      </c>
      <c r="AZ628" t="inlineStr">
        <is>
          <t>BOOK</t>
        </is>
      </c>
      <c r="BB628" t="inlineStr">
        <is>
          <t>9781851098033</t>
        </is>
      </c>
      <c r="BC628" t="inlineStr">
        <is>
          <t>32285004937347</t>
        </is>
      </c>
      <c r="BD628" t="inlineStr">
        <is>
          <t>893706705</t>
        </is>
      </c>
    </row>
    <row r="629">
      <c r="A629" t="inlineStr">
        <is>
          <t>No</t>
        </is>
      </c>
      <c r="B629" t="inlineStr">
        <is>
          <t>HV6432.5 .E447 2002</t>
        </is>
      </c>
      <c r="C629" t="inlineStr">
        <is>
          <t>0                      HV 6432500E  447         2002</t>
        </is>
      </c>
      <c r="D629" t="inlineStr">
        <is>
          <t>American jihad : the terrorists living among us / Steven Emerson.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K629" t="inlineStr">
        <is>
          <t>Emerson, Steven.</t>
        </is>
      </c>
      <c r="L629" t="inlineStr">
        <is>
          <t>New York : The Free Press, c2002.</t>
        </is>
      </c>
      <c r="M629" t="inlineStr">
        <is>
          <t>2002</t>
        </is>
      </c>
      <c r="O629" t="inlineStr">
        <is>
          <t>eng</t>
        </is>
      </c>
      <c r="P629" t="inlineStr">
        <is>
          <t>nyu</t>
        </is>
      </c>
      <c r="R629" t="inlineStr">
        <is>
          <t xml:space="preserve">HV </t>
        </is>
      </c>
      <c r="S629" t="n">
        <v>7</v>
      </c>
      <c r="T629" t="n">
        <v>7</v>
      </c>
      <c r="U629" t="inlineStr">
        <is>
          <t>2005-04-01</t>
        </is>
      </c>
      <c r="V629" t="inlineStr">
        <is>
          <t>2005-04-01</t>
        </is>
      </c>
      <c r="W629" t="inlineStr">
        <is>
          <t>2002-03-04</t>
        </is>
      </c>
      <c r="X629" t="inlineStr">
        <is>
          <t>2002-03-04</t>
        </is>
      </c>
      <c r="Y629" t="n">
        <v>1563</v>
      </c>
      <c r="Z629" t="n">
        <v>1480</v>
      </c>
      <c r="AA629" t="n">
        <v>1666</v>
      </c>
      <c r="AB629" t="n">
        <v>15</v>
      </c>
      <c r="AC629" t="n">
        <v>16</v>
      </c>
      <c r="AD629" t="n">
        <v>34</v>
      </c>
      <c r="AE629" t="n">
        <v>38</v>
      </c>
      <c r="AF629" t="n">
        <v>14</v>
      </c>
      <c r="AG629" t="n">
        <v>15</v>
      </c>
      <c r="AH629" t="n">
        <v>7</v>
      </c>
      <c r="AI629" t="n">
        <v>8</v>
      </c>
      <c r="AJ629" t="n">
        <v>12</v>
      </c>
      <c r="AK629" t="n">
        <v>13</v>
      </c>
      <c r="AL629" t="n">
        <v>6</v>
      </c>
      <c r="AM629" t="n">
        <v>7</v>
      </c>
      <c r="AN629" t="n">
        <v>2</v>
      </c>
      <c r="AO629" t="n">
        <v>2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HYPERLINK("https://creighton-primo.hosted.exlibrisgroup.com/primo-explore/search?tab=default_tab&amp;search_scope=EVERYTHING&amp;vid=01CRU&amp;lang=en_US&amp;offset=0&amp;query=any,contains,991003722969702656","Catalog Record")</f>
        <v/>
      </c>
      <c r="AT629">
        <f>HYPERLINK("http://www.worldcat.org/oclc/48811726","WorldCat Record")</f>
        <v/>
      </c>
      <c r="AU629" t="inlineStr">
        <is>
          <t>1083393872:eng</t>
        </is>
      </c>
      <c r="AV629" t="inlineStr">
        <is>
          <t>48811726</t>
        </is>
      </c>
      <c r="AW629" t="inlineStr">
        <is>
          <t>991003722969702656</t>
        </is>
      </c>
      <c r="AX629" t="inlineStr">
        <is>
          <t>991003722969702656</t>
        </is>
      </c>
      <c r="AY629" t="inlineStr">
        <is>
          <t>2268543730002656</t>
        </is>
      </c>
      <c r="AZ629" t="inlineStr">
        <is>
          <t>BOOK</t>
        </is>
      </c>
      <c r="BB629" t="inlineStr">
        <is>
          <t>9780743233248</t>
        </is>
      </c>
      <c r="BC629" t="inlineStr">
        <is>
          <t>32285004458856</t>
        </is>
      </c>
      <c r="BD629" t="inlineStr">
        <is>
          <t>893781315</t>
        </is>
      </c>
    </row>
    <row r="630">
      <c r="A630" t="inlineStr">
        <is>
          <t>No</t>
        </is>
      </c>
      <c r="B630" t="inlineStr">
        <is>
          <t>HV6432.5.U62 H593 2005</t>
        </is>
      </c>
      <c r="C630" t="inlineStr">
        <is>
          <t>0                      HV 6432500U  62                 H  593         2005</t>
        </is>
      </c>
      <c r="D630" t="inlineStr">
        <is>
          <t>Lightning out of Lebanon : Hezbollah terrorists on American soil / Tom Diaz and Barbara Newman.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K630" t="inlineStr">
        <is>
          <t>Diaz, Tom.</t>
        </is>
      </c>
      <c r="L630" t="inlineStr">
        <is>
          <t>New York : Presidio Press/Ballantine Books, 2005.</t>
        </is>
      </c>
      <c r="M630" t="inlineStr">
        <is>
          <t>2005</t>
        </is>
      </c>
      <c r="N630" t="inlineStr">
        <is>
          <t>1st ed.</t>
        </is>
      </c>
      <c r="O630" t="inlineStr">
        <is>
          <t>eng</t>
        </is>
      </c>
      <c r="P630" t="inlineStr">
        <is>
          <t>nyu</t>
        </is>
      </c>
      <c r="R630" t="inlineStr">
        <is>
          <t xml:space="preserve">HV </t>
        </is>
      </c>
      <c r="S630" t="n">
        <v>1</v>
      </c>
      <c r="T630" t="n">
        <v>1</v>
      </c>
      <c r="U630" t="inlineStr">
        <is>
          <t>2005-03-28</t>
        </is>
      </c>
      <c r="V630" t="inlineStr">
        <is>
          <t>2005-03-28</t>
        </is>
      </c>
      <c r="W630" t="inlineStr">
        <is>
          <t>2005-03-28</t>
        </is>
      </c>
      <c r="X630" t="inlineStr">
        <is>
          <t>2005-03-28</t>
        </is>
      </c>
      <c r="Y630" t="n">
        <v>433</v>
      </c>
      <c r="Z630" t="n">
        <v>407</v>
      </c>
      <c r="AA630" t="n">
        <v>512</v>
      </c>
      <c r="AB630" t="n">
        <v>2</v>
      </c>
      <c r="AC630" t="n">
        <v>2</v>
      </c>
      <c r="AD630" t="n">
        <v>5</v>
      </c>
      <c r="AE630" t="n">
        <v>6</v>
      </c>
      <c r="AF630" t="n">
        <v>1</v>
      </c>
      <c r="AG630" t="n">
        <v>1</v>
      </c>
      <c r="AH630" t="n">
        <v>1</v>
      </c>
      <c r="AI630" t="n">
        <v>2</v>
      </c>
      <c r="AJ630" t="n">
        <v>4</v>
      </c>
      <c r="AK630" t="n">
        <v>5</v>
      </c>
      <c r="AL630" t="n">
        <v>0</v>
      </c>
      <c r="AM630" t="n">
        <v>0</v>
      </c>
      <c r="AN630" t="n">
        <v>0</v>
      </c>
      <c r="AO630" t="n">
        <v>0</v>
      </c>
      <c r="AP630" t="inlineStr">
        <is>
          <t>No</t>
        </is>
      </c>
      <c r="AQ630" t="inlineStr">
        <is>
          <t>No</t>
        </is>
      </c>
      <c r="AS630">
        <f>HYPERLINK("https://creighton-primo.hosted.exlibrisgroup.com/primo-explore/search?tab=default_tab&amp;search_scope=EVERYTHING&amp;vid=01CRU&amp;lang=en_US&amp;offset=0&amp;query=any,contains,991004458629702656","Catalog Record")</f>
        <v/>
      </c>
      <c r="AT630">
        <f>HYPERLINK("http://www.worldcat.org/oclc/56329532","WorldCat Record")</f>
        <v/>
      </c>
      <c r="AU630" t="inlineStr">
        <is>
          <t>3058822:eng</t>
        </is>
      </c>
      <c r="AV630" t="inlineStr">
        <is>
          <t>56329532</t>
        </is>
      </c>
      <c r="AW630" t="inlineStr">
        <is>
          <t>991004458629702656</t>
        </is>
      </c>
      <c r="AX630" t="inlineStr">
        <is>
          <t>991004458629702656</t>
        </is>
      </c>
      <c r="AY630" t="inlineStr">
        <is>
          <t>2264364660002656</t>
        </is>
      </c>
      <c r="AZ630" t="inlineStr">
        <is>
          <t>BOOK</t>
        </is>
      </c>
      <c r="BB630" t="inlineStr">
        <is>
          <t>9780345475688</t>
        </is>
      </c>
      <c r="BC630" t="inlineStr">
        <is>
          <t>32285005045090</t>
        </is>
      </c>
      <c r="BD630" t="inlineStr">
        <is>
          <t>893430079</t>
        </is>
      </c>
    </row>
    <row r="631">
      <c r="A631" t="inlineStr">
        <is>
          <t>No</t>
        </is>
      </c>
      <c r="B631" t="inlineStr">
        <is>
          <t>HV6432.7 .A24 2001</t>
        </is>
      </c>
      <c r="C631" t="inlineStr">
        <is>
          <t>0                      HV 6432700A  24          2001</t>
        </is>
      </c>
      <c r="D631" t="inlineStr">
        <is>
          <t>Coincidencia macabra : el número 11 en las tragedias de World Trade Center y el Pentágono-- y otras marcas electrizantes / [Carlos Acevedo].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Acevedo, Carlos.</t>
        </is>
      </c>
      <c r="L631" t="inlineStr">
        <is>
          <t>Santo Domingo, D.N. : [s.n.], 2001.</t>
        </is>
      </c>
      <c r="M631" t="inlineStr">
        <is>
          <t>2001</t>
        </is>
      </c>
      <c r="N631" t="inlineStr">
        <is>
          <t>1. ed.</t>
        </is>
      </c>
      <c r="O631" t="inlineStr">
        <is>
          <t>spa</t>
        </is>
      </c>
      <c r="P631" t="inlineStr">
        <is>
          <t xml:space="preserve">dr </t>
        </is>
      </c>
      <c r="R631" t="inlineStr">
        <is>
          <t xml:space="preserve">HV </t>
        </is>
      </c>
      <c r="S631" t="n">
        <v>2</v>
      </c>
      <c r="T631" t="n">
        <v>2</v>
      </c>
      <c r="U631" t="inlineStr">
        <is>
          <t>2003-12-10</t>
        </is>
      </c>
      <c r="V631" t="inlineStr">
        <is>
          <t>2003-12-10</t>
        </is>
      </c>
      <c r="W631" t="inlineStr">
        <is>
          <t>2003-12-09</t>
        </is>
      </c>
      <c r="X631" t="inlineStr">
        <is>
          <t>2003-12-09</t>
        </is>
      </c>
      <c r="Y631" t="n">
        <v>2</v>
      </c>
      <c r="Z631" t="n">
        <v>2</v>
      </c>
      <c r="AA631" t="n">
        <v>2</v>
      </c>
      <c r="AB631" t="n">
        <v>1</v>
      </c>
      <c r="AC631" t="n">
        <v>1</v>
      </c>
      <c r="AD631" t="n">
        <v>0</v>
      </c>
      <c r="AE631" t="n">
        <v>0</v>
      </c>
      <c r="AF631" t="n">
        <v>0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HYPERLINK("https://creighton-primo.hosted.exlibrisgroup.com/primo-explore/search?tab=default_tab&amp;search_scope=EVERYTHING&amp;vid=01CRU&amp;lang=en_US&amp;offset=0&amp;query=any,contains,991004202749702656","Catalog Record")</f>
        <v/>
      </c>
      <c r="AT631">
        <f>HYPERLINK("http://www.worldcat.org/oclc/53688385","WorldCat Record")</f>
        <v/>
      </c>
      <c r="AU631" t="inlineStr">
        <is>
          <t>1812558613:spa</t>
        </is>
      </c>
      <c r="AV631" t="inlineStr">
        <is>
          <t>53688385</t>
        </is>
      </c>
      <c r="AW631" t="inlineStr">
        <is>
          <t>991004202749702656</t>
        </is>
      </c>
      <c r="AX631" t="inlineStr">
        <is>
          <t>991004202749702656</t>
        </is>
      </c>
      <c r="AY631" t="inlineStr">
        <is>
          <t>2264590340002656</t>
        </is>
      </c>
      <c r="AZ631" t="inlineStr">
        <is>
          <t>BOOK</t>
        </is>
      </c>
      <c r="BC631" t="inlineStr">
        <is>
          <t>32285004887419</t>
        </is>
      </c>
      <c r="BD631" t="inlineStr">
        <is>
          <t>893436014</t>
        </is>
      </c>
    </row>
    <row r="632">
      <c r="A632" t="inlineStr">
        <is>
          <t>No</t>
        </is>
      </c>
      <c r="B632" t="inlineStr">
        <is>
          <t>HV6432.7 .B413 2006</t>
        </is>
      </c>
      <c r="C632" t="inlineStr">
        <is>
          <t>0                      HV 6432700B  413         2006</t>
        </is>
      </c>
      <c r="D632" t="inlineStr">
        <is>
          <t>Compassion and courage in the aftermath of traumatic loss : stones in my heart forever / Kathryn Bedard.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Bedard, Kathryn.</t>
        </is>
      </c>
      <c r="L632" t="inlineStr">
        <is>
          <t>New York : Haworth Press, c2006.</t>
        </is>
      </c>
      <c r="M632" t="inlineStr">
        <is>
          <t>2006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HV </t>
        </is>
      </c>
      <c r="S632" t="n">
        <v>1</v>
      </c>
      <c r="T632" t="n">
        <v>1</v>
      </c>
      <c r="U632" t="inlineStr">
        <is>
          <t>2006-10-10</t>
        </is>
      </c>
      <c r="V632" t="inlineStr">
        <is>
          <t>2006-10-10</t>
        </is>
      </c>
      <c r="W632" t="inlineStr">
        <is>
          <t>2006-10-10</t>
        </is>
      </c>
      <c r="X632" t="inlineStr">
        <is>
          <t>2006-10-10</t>
        </is>
      </c>
      <c r="Y632" t="n">
        <v>155</v>
      </c>
      <c r="Z632" t="n">
        <v>131</v>
      </c>
      <c r="AA632" t="n">
        <v>136</v>
      </c>
      <c r="AB632" t="n">
        <v>2</v>
      </c>
      <c r="AC632" t="n">
        <v>2</v>
      </c>
      <c r="AD632" t="n">
        <v>7</v>
      </c>
      <c r="AE632" t="n">
        <v>7</v>
      </c>
      <c r="AF632" t="n">
        <v>0</v>
      </c>
      <c r="AG632" t="n">
        <v>0</v>
      </c>
      <c r="AH632" t="n">
        <v>3</v>
      </c>
      <c r="AI632" t="n">
        <v>3</v>
      </c>
      <c r="AJ632" t="n">
        <v>4</v>
      </c>
      <c r="AK632" t="n">
        <v>4</v>
      </c>
      <c r="AL632" t="n">
        <v>1</v>
      </c>
      <c r="AM632" t="n">
        <v>1</v>
      </c>
      <c r="AN632" t="n">
        <v>0</v>
      </c>
      <c r="AO632" t="n">
        <v>0</v>
      </c>
      <c r="AP632" t="inlineStr">
        <is>
          <t>No</t>
        </is>
      </c>
      <c r="AQ632" t="inlineStr">
        <is>
          <t>No</t>
        </is>
      </c>
      <c r="AS632">
        <f>HYPERLINK("https://creighton-primo.hosted.exlibrisgroup.com/primo-explore/search?tab=default_tab&amp;search_scope=EVERYTHING&amp;vid=01CRU&amp;lang=en_US&amp;offset=0&amp;query=any,contains,991004924449702656","Catalog Record")</f>
        <v/>
      </c>
      <c r="AT632">
        <f>HYPERLINK("http://www.worldcat.org/oclc/60766957","WorldCat Record")</f>
        <v/>
      </c>
      <c r="AU632" t="inlineStr">
        <is>
          <t>5513743150:eng</t>
        </is>
      </c>
      <c r="AV632" t="inlineStr">
        <is>
          <t>60766957</t>
        </is>
      </c>
      <c r="AW632" t="inlineStr">
        <is>
          <t>991004924449702656</t>
        </is>
      </c>
      <c r="AX632" t="inlineStr">
        <is>
          <t>991004924449702656</t>
        </is>
      </c>
      <c r="AY632" t="inlineStr">
        <is>
          <t>2272003510002656</t>
        </is>
      </c>
      <c r="AZ632" t="inlineStr">
        <is>
          <t>BOOK</t>
        </is>
      </c>
      <c r="BB632" t="inlineStr">
        <is>
          <t>9780789027412</t>
        </is>
      </c>
      <c r="BC632" t="inlineStr">
        <is>
          <t>32285005228266</t>
        </is>
      </c>
      <c r="BD632" t="inlineStr">
        <is>
          <t>893507372</t>
        </is>
      </c>
    </row>
    <row r="633">
      <c r="A633" t="inlineStr">
        <is>
          <t>No</t>
        </is>
      </c>
      <c r="B633" t="inlineStr">
        <is>
          <t>HV6432.7 .B425 2005</t>
        </is>
      </c>
      <c r="C633" t="inlineStr">
        <is>
          <t>0                      HV 6432700B  425         2005</t>
        </is>
      </c>
      <c r="D633" t="inlineStr">
        <is>
          <t>The next attack : the failure of the war on terror and a strategy for getting it right / Daniel Benjamin and Steven Simon.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Benjamin, Daniel, 1961-</t>
        </is>
      </c>
      <c r="L633" t="inlineStr">
        <is>
          <t>New York : Times Books, 2005.</t>
        </is>
      </c>
      <c r="M633" t="inlineStr">
        <is>
          <t>2005</t>
        </is>
      </c>
      <c r="N633" t="inlineStr">
        <is>
          <t>1st ed.</t>
        </is>
      </c>
      <c r="O633" t="inlineStr">
        <is>
          <t>eng</t>
        </is>
      </c>
      <c r="P633" t="inlineStr">
        <is>
          <t>nyu</t>
        </is>
      </c>
      <c r="R633" t="inlineStr">
        <is>
          <t xml:space="preserve">HV </t>
        </is>
      </c>
      <c r="S633" t="n">
        <v>1</v>
      </c>
      <c r="T633" t="n">
        <v>1</v>
      </c>
      <c r="U633" t="inlineStr">
        <is>
          <t>2006-02-21</t>
        </is>
      </c>
      <c r="V633" t="inlineStr">
        <is>
          <t>2006-02-21</t>
        </is>
      </c>
      <c r="W633" t="inlineStr">
        <is>
          <t>2006-02-02</t>
        </is>
      </c>
      <c r="X633" t="inlineStr">
        <is>
          <t>2006-02-02</t>
        </is>
      </c>
      <c r="Y633" t="n">
        <v>834</v>
      </c>
      <c r="Z633" t="n">
        <v>762</v>
      </c>
      <c r="AA633" t="n">
        <v>824</v>
      </c>
      <c r="AB633" t="n">
        <v>3</v>
      </c>
      <c r="AC633" t="n">
        <v>3</v>
      </c>
      <c r="AD633" t="n">
        <v>28</v>
      </c>
      <c r="AE633" t="n">
        <v>30</v>
      </c>
      <c r="AF633" t="n">
        <v>12</v>
      </c>
      <c r="AG633" t="n">
        <v>14</v>
      </c>
      <c r="AH633" t="n">
        <v>5</v>
      </c>
      <c r="AI633" t="n">
        <v>5</v>
      </c>
      <c r="AJ633" t="n">
        <v>14</v>
      </c>
      <c r="AK633" t="n">
        <v>15</v>
      </c>
      <c r="AL633" t="n">
        <v>2</v>
      </c>
      <c r="AM633" t="n">
        <v>2</v>
      </c>
      <c r="AN633" t="n">
        <v>2</v>
      </c>
      <c r="AO633" t="n">
        <v>2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HYPERLINK("https://creighton-primo.hosted.exlibrisgroup.com/primo-explore/search?tab=default_tab&amp;search_scope=EVERYTHING&amp;vid=01CRU&amp;lang=en_US&amp;offset=0&amp;query=any,contains,991004731109702656","Catalog Record")</f>
        <v/>
      </c>
      <c r="AT633">
        <f>HYPERLINK("http://www.worldcat.org/oclc/61162386","WorldCat Record")</f>
        <v/>
      </c>
      <c r="AU633" t="inlineStr">
        <is>
          <t>46523145:eng</t>
        </is>
      </c>
      <c r="AV633" t="inlineStr">
        <is>
          <t>61162386</t>
        </is>
      </c>
      <c r="AW633" t="inlineStr">
        <is>
          <t>991004731109702656</t>
        </is>
      </c>
      <c r="AX633" t="inlineStr">
        <is>
          <t>991004731109702656</t>
        </is>
      </c>
      <c r="AY633" t="inlineStr">
        <is>
          <t>2269137470002656</t>
        </is>
      </c>
      <c r="AZ633" t="inlineStr">
        <is>
          <t>BOOK</t>
        </is>
      </c>
      <c r="BB633" t="inlineStr">
        <is>
          <t>9780805079418</t>
        </is>
      </c>
      <c r="BC633" t="inlineStr">
        <is>
          <t>32285005159420</t>
        </is>
      </c>
      <c r="BD633" t="inlineStr">
        <is>
          <t>893722574</t>
        </is>
      </c>
    </row>
    <row r="634">
      <c r="A634" t="inlineStr">
        <is>
          <t>No</t>
        </is>
      </c>
      <c r="B634" t="inlineStr">
        <is>
          <t>HV6432.7 .C36 2002</t>
        </is>
      </c>
      <c r="C634" t="inlineStr">
        <is>
          <t>0                      HV 6432700C  36          2002</t>
        </is>
      </c>
      <c r="D634" t="inlineStr">
        <is>
          <t>Canada and September 11 : impact and responses / edited by Karim-Aly Kassam, George Melnyk and Lynne Perras.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L634" t="inlineStr">
        <is>
          <t>Calgary : Detselig Enterprises, c2002.</t>
        </is>
      </c>
      <c r="M634" t="inlineStr">
        <is>
          <t>2002</t>
        </is>
      </c>
      <c r="O634" t="inlineStr">
        <is>
          <t>eng</t>
        </is>
      </c>
      <c r="P634" t="inlineStr">
        <is>
          <t>abc</t>
        </is>
      </c>
      <c r="R634" t="inlineStr">
        <is>
          <t xml:space="preserve">HV </t>
        </is>
      </c>
      <c r="S634" t="n">
        <v>1</v>
      </c>
      <c r="T634" t="n">
        <v>1</v>
      </c>
      <c r="U634" t="inlineStr">
        <is>
          <t>2004-10-27</t>
        </is>
      </c>
      <c r="V634" t="inlineStr">
        <is>
          <t>2004-10-27</t>
        </is>
      </c>
      <c r="W634" t="inlineStr">
        <is>
          <t>2004-10-27</t>
        </is>
      </c>
      <c r="X634" t="inlineStr">
        <is>
          <t>2004-10-27</t>
        </is>
      </c>
      <c r="Y634" t="n">
        <v>83</v>
      </c>
      <c r="Z634" t="n">
        <v>29</v>
      </c>
      <c r="AA634" t="n">
        <v>31</v>
      </c>
      <c r="AB634" t="n">
        <v>1</v>
      </c>
      <c r="AC634" t="n">
        <v>1</v>
      </c>
      <c r="AD634" t="n">
        <v>1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1</v>
      </c>
      <c r="AK634" t="n">
        <v>1</v>
      </c>
      <c r="AL634" t="n">
        <v>0</v>
      </c>
      <c r="AM634" t="n">
        <v>0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HYPERLINK("http://catalog.hathitrust.org/Record/004364192","HathiTrust Record")</f>
        <v/>
      </c>
      <c r="AS634">
        <f>HYPERLINK("https://creighton-primo.hosted.exlibrisgroup.com/primo-explore/search?tab=default_tab&amp;search_scope=EVERYTHING&amp;vid=01CRU&amp;lang=en_US&amp;offset=0&amp;query=any,contains,991004241179702656","Catalog Record")</f>
        <v/>
      </c>
      <c r="AT634">
        <f>HYPERLINK("http://www.worldcat.org/oclc/50143151","WorldCat Record")</f>
        <v/>
      </c>
      <c r="AU634" t="inlineStr">
        <is>
          <t>475596634:eng</t>
        </is>
      </c>
      <c r="AV634" t="inlineStr">
        <is>
          <t>50143151</t>
        </is>
      </c>
      <c r="AW634" t="inlineStr">
        <is>
          <t>991004241179702656</t>
        </is>
      </c>
      <c r="AX634" t="inlineStr">
        <is>
          <t>991004241179702656</t>
        </is>
      </c>
      <c r="AY634" t="inlineStr">
        <is>
          <t>2270704740002656</t>
        </is>
      </c>
      <c r="AZ634" t="inlineStr">
        <is>
          <t>BOOK</t>
        </is>
      </c>
      <c r="BB634" t="inlineStr">
        <is>
          <t>9781550592405</t>
        </is>
      </c>
      <c r="BC634" t="inlineStr">
        <is>
          <t>32285005007090</t>
        </is>
      </c>
      <c r="BD634" t="inlineStr">
        <is>
          <t>893904770</t>
        </is>
      </c>
    </row>
    <row r="635">
      <c r="A635" t="inlineStr">
        <is>
          <t>No</t>
        </is>
      </c>
      <c r="B635" t="inlineStr">
        <is>
          <t>HV6432.7 .C38 2008</t>
        </is>
      </c>
      <c r="C635" t="inlineStr">
        <is>
          <t>0                      HV 6432700C  38          2008</t>
        </is>
      </c>
      <c r="D635" t="inlineStr">
        <is>
          <t>The alchemy of loss : a young widow's transformation / Abigail Carter.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Carter, Abigail.</t>
        </is>
      </c>
      <c r="L635" t="inlineStr">
        <is>
          <t>Toronto : McClelland &amp; Stewart, 2008.</t>
        </is>
      </c>
      <c r="M635" t="inlineStr">
        <is>
          <t>2008</t>
        </is>
      </c>
      <c r="O635" t="inlineStr">
        <is>
          <t>eng</t>
        </is>
      </c>
      <c r="P635" t="inlineStr">
        <is>
          <t>onc</t>
        </is>
      </c>
      <c r="R635" t="inlineStr">
        <is>
          <t xml:space="preserve">HV </t>
        </is>
      </c>
      <c r="S635" t="n">
        <v>3</v>
      </c>
      <c r="T635" t="n">
        <v>3</v>
      </c>
      <c r="U635" t="inlineStr">
        <is>
          <t>2008-11-03</t>
        </is>
      </c>
      <c r="V635" t="inlineStr">
        <is>
          <t>2008-11-03</t>
        </is>
      </c>
      <c r="W635" t="inlineStr">
        <is>
          <t>2008-09-30</t>
        </is>
      </c>
      <c r="X635" t="inlineStr">
        <is>
          <t>2008-09-30</t>
        </is>
      </c>
      <c r="Y635" t="n">
        <v>67</v>
      </c>
      <c r="Z635" t="n">
        <v>22</v>
      </c>
      <c r="AA635" t="n">
        <v>203</v>
      </c>
      <c r="AB635" t="n">
        <v>1</v>
      </c>
      <c r="AC635" t="n">
        <v>1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HYPERLINK("https://creighton-primo.hosted.exlibrisgroup.com/primo-explore/search?tab=default_tab&amp;search_scope=EVERYTHING&amp;vid=01CRU&amp;lang=en_US&amp;offset=0&amp;query=any,contains,991005260129702656","Catalog Record")</f>
        <v/>
      </c>
      <c r="AT635">
        <f>HYPERLINK("http://www.worldcat.org/oclc/175282612","WorldCat Record")</f>
        <v/>
      </c>
      <c r="AU635" t="inlineStr">
        <is>
          <t>866287315:eng</t>
        </is>
      </c>
      <c r="AV635" t="inlineStr">
        <is>
          <t>175282612</t>
        </is>
      </c>
      <c r="AW635" t="inlineStr">
        <is>
          <t>991005260129702656</t>
        </is>
      </c>
      <c r="AX635" t="inlineStr">
        <is>
          <t>991005260129702656</t>
        </is>
      </c>
      <c r="AY635" t="inlineStr">
        <is>
          <t>2262995020002656</t>
        </is>
      </c>
      <c r="AZ635" t="inlineStr">
        <is>
          <t>BOOK</t>
        </is>
      </c>
      <c r="BB635" t="inlineStr">
        <is>
          <t>9780771019050</t>
        </is>
      </c>
      <c r="BC635" t="inlineStr">
        <is>
          <t>32285005461107</t>
        </is>
      </c>
      <c r="BD635" t="inlineStr">
        <is>
          <t>893877219</t>
        </is>
      </c>
    </row>
    <row r="636">
      <c r="A636" t="inlineStr">
        <is>
          <t>No</t>
        </is>
      </c>
      <c r="B636" t="inlineStr">
        <is>
          <t>HV6432.7 .F75 2006</t>
        </is>
      </c>
      <c r="C636" t="inlineStr">
        <is>
          <t>0                      HV 6432700F  75          2006</t>
        </is>
      </c>
      <c r="D636" t="inlineStr">
        <is>
          <t>Watching the world change : the stories behind the images of 9/11 / David Friend.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Friend, David, 1955-</t>
        </is>
      </c>
      <c r="L636" t="inlineStr">
        <is>
          <t>New York : Farrar, Straus and Giroux, 2006.</t>
        </is>
      </c>
      <c r="M636" t="inlineStr">
        <is>
          <t>2006</t>
        </is>
      </c>
      <c r="N636" t="inlineStr">
        <is>
          <t>1st ed.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HV </t>
        </is>
      </c>
      <c r="S636" t="n">
        <v>1</v>
      </c>
      <c r="T636" t="n">
        <v>1</v>
      </c>
      <c r="U636" t="inlineStr">
        <is>
          <t>2006-09-05</t>
        </is>
      </c>
      <c r="V636" t="inlineStr">
        <is>
          <t>2006-09-05</t>
        </is>
      </c>
      <c r="W636" t="inlineStr">
        <is>
          <t>2006-09-05</t>
        </is>
      </c>
      <c r="X636" t="inlineStr">
        <is>
          <t>2006-09-05</t>
        </is>
      </c>
      <c r="Y636" t="n">
        <v>1065</v>
      </c>
      <c r="Z636" t="n">
        <v>1018</v>
      </c>
      <c r="AA636" t="n">
        <v>1102</v>
      </c>
      <c r="AB636" t="n">
        <v>10</v>
      </c>
      <c r="AC636" t="n">
        <v>10</v>
      </c>
      <c r="AD636" t="n">
        <v>26</v>
      </c>
      <c r="AE636" t="n">
        <v>30</v>
      </c>
      <c r="AF636" t="n">
        <v>8</v>
      </c>
      <c r="AG636" t="n">
        <v>12</v>
      </c>
      <c r="AH636" t="n">
        <v>6</v>
      </c>
      <c r="AI636" t="n">
        <v>7</v>
      </c>
      <c r="AJ636" t="n">
        <v>11</v>
      </c>
      <c r="AK636" t="n">
        <v>11</v>
      </c>
      <c r="AL636" t="n">
        <v>5</v>
      </c>
      <c r="AM636" t="n">
        <v>5</v>
      </c>
      <c r="AN636" t="n">
        <v>1</v>
      </c>
      <c r="AO636" t="n">
        <v>1</v>
      </c>
      <c r="AP636" t="inlineStr">
        <is>
          <t>No</t>
        </is>
      </c>
      <c r="AQ636" t="inlineStr">
        <is>
          <t>No</t>
        </is>
      </c>
      <c r="AS636">
        <f>HYPERLINK("https://creighton-primo.hosted.exlibrisgroup.com/primo-explore/search?tab=default_tab&amp;search_scope=EVERYTHING&amp;vid=01CRU&amp;lang=en_US&amp;offset=0&amp;query=any,contains,991004860639702656","Catalog Record")</f>
        <v/>
      </c>
      <c r="AT636">
        <f>HYPERLINK("http://www.worldcat.org/oclc/62679830","WorldCat Record")</f>
        <v/>
      </c>
      <c r="AU636" t="inlineStr">
        <is>
          <t>198134938:eng</t>
        </is>
      </c>
      <c r="AV636" t="inlineStr">
        <is>
          <t>62679830</t>
        </is>
      </c>
      <c r="AW636" t="inlineStr">
        <is>
          <t>991004860639702656</t>
        </is>
      </c>
      <c r="AX636" t="inlineStr">
        <is>
          <t>991004860639702656</t>
        </is>
      </c>
      <c r="AY636" t="inlineStr">
        <is>
          <t>2267400130002656</t>
        </is>
      </c>
      <c r="AZ636" t="inlineStr">
        <is>
          <t>BOOK</t>
        </is>
      </c>
      <c r="BB636" t="inlineStr">
        <is>
          <t>9780374299330</t>
        </is>
      </c>
      <c r="BC636" t="inlineStr">
        <is>
          <t>32285005221519</t>
        </is>
      </c>
      <c r="BD636" t="inlineStr">
        <is>
          <t>893619165</t>
        </is>
      </c>
    </row>
    <row r="637">
      <c r="A637" t="inlineStr">
        <is>
          <t>No</t>
        </is>
      </c>
      <c r="B637" t="inlineStr">
        <is>
          <t>HV6432.7 .H39 2004</t>
        </is>
      </c>
      <c r="C637" t="inlineStr">
        <is>
          <t>0                      HV 6432700H  39          2004</t>
        </is>
      </c>
      <c r="D637" t="inlineStr">
        <is>
          <t>The connection : how al Qaeda's collaboration with Saddam Hussein has endangered America / Stephen F. Hayes.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Hayes, Stephen F.</t>
        </is>
      </c>
      <c r="L637" t="inlineStr">
        <is>
          <t>New York, NY : HarperCollins, c2004.</t>
        </is>
      </c>
      <c r="M637" t="inlineStr">
        <is>
          <t>2004</t>
        </is>
      </c>
      <c r="N637" t="inlineStr">
        <is>
          <t>1st ed.</t>
        </is>
      </c>
      <c r="O637" t="inlineStr">
        <is>
          <t>eng</t>
        </is>
      </c>
      <c r="P637" t="inlineStr">
        <is>
          <t>nyu</t>
        </is>
      </c>
      <c r="R637" t="inlineStr">
        <is>
          <t xml:space="preserve">HV </t>
        </is>
      </c>
      <c r="S637" t="n">
        <v>4</v>
      </c>
      <c r="T637" t="n">
        <v>4</v>
      </c>
      <c r="U637" t="inlineStr">
        <is>
          <t>2004-09-10</t>
        </is>
      </c>
      <c r="V637" t="inlineStr">
        <is>
          <t>2004-09-10</t>
        </is>
      </c>
      <c r="W637" t="inlineStr">
        <is>
          <t>2004-07-14</t>
        </is>
      </c>
      <c r="X637" t="inlineStr">
        <is>
          <t>2004-07-14</t>
        </is>
      </c>
      <c r="Y637" t="n">
        <v>563</v>
      </c>
      <c r="Z637" t="n">
        <v>518</v>
      </c>
      <c r="AA637" t="n">
        <v>552</v>
      </c>
      <c r="AB637" t="n">
        <v>3</v>
      </c>
      <c r="AC637" t="n">
        <v>3</v>
      </c>
      <c r="AD637" t="n">
        <v>16</v>
      </c>
      <c r="AE637" t="n">
        <v>16</v>
      </c>
      <c r="AF637" t="n">
        <v>6</v>
      </c>
      <c r="AG637" t="n">
        <v>6</v>
      </c>
      <c r="AH637" t="n">
        <v>3</v>
      </c>
      <c r="AI637" t="n">
        <v>3</v>
      </c>
      <c r="AJ637" t="n">
        <v>12</v>
      </c>
      <c r="AK637" t="n">
        <v>12</v>
      </c>
      <c r="AL637" t="n">
        <v>1</v>
      </c>
      <c r="AM637" t="n">
        <v>1</v>
      </c>
      <c r="AN637" t="n">
        <v>0</v>
      </c>
      <c r="AO637" t="n">
        <v>0</v>
      </c>
      <c r="AP637" t="inlineStr">
        <is>
          <t>No</t>
        </is>
      </c>
      <c r="AQ637" t="inlineStr">
        <is>
          <t>No</t>
        </is>
      </c>
      <c r="AS637">
        <f>HYPERLINK("https://creighton-primo.hosted.exlibrisgroup.com/primo-explore/search?tab=default_tab&amp;search_scope=EVERYTHING&amp;vid=01CRU&amp;lang=en_US&amp;offset=0&amp;query=any,contains,991004318419702656","Catalog Record")</f>
        <v/>
      </c>
      <c r="AT637">
        <f>HYPERLINK("http://www.worldcat.org/oclc/55593184","WorldCat Record")</f>
        <v/>
      </c>
      <c r="AU637" t="inlineStr">
        <is>
          <t>799327084:eng</t>
        </is>
      </c>
      <c r="AV637" t="inlineStr">
        <is>
          <t>55593184</t>
        </is>
      </c>
      <c r="AW637" t="inlineStr">
        <is>
          <t>991004318419702656</t>
        </is>
      </c>
      <c r="AX637" t="inlineStr">
        <is>
          <t>991004318419702656</t>
        </is>
      </c>
      <c r="AY637" t="inlineStr">
        <is>
          <t>2258511800002656</t>
        </is>
      </c>
      <c r="AZ637" t="inlineStr">
        <is>
          <t>BOOK</t>
        </is>
      </c>
      <c r="BB637" t="inlineStr">
        <is>
          <t>9780060746735</t>
        </is>
      </c>
      <c r="BC637" t="inlineStr">
        <is>
          <t>32285004922729</t>
        </is>
      </c>
      <c r="BD637" t="inlineStr">
        <is>
          <t>893628093</t>
        </is>
      </c>
    </row>
    <row r="638">
      <c r="A638" t="inlineStr">
        <is>
          <t>No</t>
        </is>
      </c>
      <c r="B638" t="inlineStr">
        <is>
          <t>HV6432.7 .M87 2007</t>
        </is>
      </c>
      <c r="C638" t="inlineStr">
        <is>
          <t>0                      HV 6432700M  87          2007</t>
        </is>
      </c>
      <c r="D638" t="inlineStr">
        <is>
          <t>Reclaiming the sky : 9/11 and the untold story of the men and women who kept America flying / Tom Murphy.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Murphy, Tom (Tom Aloysius), 1949-</t>
        </is>
      </c>
      <c r="L638" t="inlineStr">
        <is>
          <t>New York : American Management Association, c2007.</t>
        </is>
      </c>
      <c r="M638" t="inlineStr">
        <is>
          <t>2007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HV </t>
        </is>
      </c>
      <c r="S638" t="n">
        <v>1</v>
      </c>
      <c r="T638" t="n">
        <v>1</v>
      </c>
      <c r="U638" t="inlineStr">
        <is>
          <t>2006-09-27</t>
        </is>
      </c>
      <c r="V638" t="inlineStr">
        <is>
          <t>2006-09-27</t>
        </is>
      </c>
      <c r="W638" t="inlineStr">
        <is>
          <t>2006-09-27</t>
        </is>
      </c>
      <c r="X638" t="inlineStr">
        <is>
          <t>2006-09-27</t>
        </is>
      </c>
      <c r="Y638" t="n">
        <v>216</v>
      </c>
      <c r="Z638" t="n">
        <v>195</v>
      </c>
      <c r="AA638" t="n">
        <v>1098</v>
      </c>
      <c r="AB638" t="n">
        <v>3</v>
      </c>
      <c r="AC638" t="n">
        <v>16</v>
      </c>
      <c r="AD638" t="n">
        <v>12</v>
      </c>
      <c r="AE638" t="n">
        <v>41</v>
      </c>
      <c r="AF638" t="n">
        <v>1</v>
      </c>
      <c r="AG638" t="n">
        <v>12</v>
      </c>
      <c r="AH638" t="n">
        <v>3</v>
      </c>
      <c r="AI638" t="n">
        <v>7</v>
      </c>
      <c r="AJ638" t="n">
        <v>8</v>
      </c>
      <c r="AK638" t="n">
        <v>14</v>
      </c>
      <c r="AL638" t="n">
        <v>2</v>
      </c>
      <c r="AM638" t="n">
        <v>13</v>
      </c>
      <c r="AN638" t="n">
        <v>1</v>
      </c>
      <c r="AO638" t="n">
        <v>2</v>
      </c>
      <c r="AP638" t="inlineStr">
        <is>
          <t>No</t>
        </is>
      </c>
      <c r="AQ638" t="inlineStr">
        <is>
          <t>No</t>
        </is>
      </c>
      <c r="AS638">
        <f>HYPERLINK("https://creighton-primo.hosted.exlibrisgroup.com/primo-explore/search?tab=default_tab&amp;search_scope=EVERYTHING&amp;vid=01CRU&amp;lang=en_US&amp;offset=0&amp;query=any,contains,991004933649702656","Catalog Record")</f>
        <v/>
      </c>
      <c r="AT638">
        <f>HYPERLINK("http://www.worldcat.org/oclc/69331631","WorldCat Record")</f>
        <v/>
      </c>
      <c r="AU638" t="inlineStr">
        <is>
          <t>199175533:eng</t>
        </is>
      </c>
      <c r="AV638" t="inlineStr">
        <is>
          <t>69331631</t>
        </is>
      </c>
      <c r="AW638" t="inlineStr">
        <is>
          <t>991004933649702656</t>
        </is>
      </c>
      <c r="AX638" t="inlineStr">
        <is>
          <t>991004933649702656</t>
        </is>
      </c>
      <c r="AY638" t="inlineStr">
        <is>
          <t>2257810530002656</t>
        </is>
      </c>
      <c r="AZ638" t="inlineStr">
        <is>
          <t>BOOK</t>
        </is>
      </c>
      <c r="BB638" t="inlineStr">
        <is>
          <t>9780814409091</t>
        </is>
      </c>
      <c r="BC638" t="inlineStr">
        <is>
          <t>32285005226070</t>
        </is>
      </c>
      <c r="BD638" t="inlineStr">
        <is>
          <t>893350521</t>
        </is>
      </c>
    </row>
    <row r="639">
      <c r="A639" t="inlineStr">
        <is>
          <t>No</t>
        </is>
      </c>
      <c r="B639" t="inlineStr">
        <is>
          <t>HV6433.35 .C53 2008</t>
        </is>
      </c>
      <c r="C639" t="inlineStr">
        <is>
          <t>0                      HV 6433350C  53          2008</t>
        </is>
      </c>
      <c r="D639" t="inlineStr">
        <is>
          <t>Bracing for armageddon? : the science and politics of bioterrorism in America / William R. Clark.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Clark, William R., 1938-</t>
        </is>
      </c>
      <c r="L639" t="inlineStr">
        <is>
          <t>New York, NY : Oxford University Press, 2008.</t>
        </is>
      </c>
      <c r="M639" t="inlineStr">
        <is>
          <t>2008</t>
        </is>
      </c>
      <c r="O639" t="inlineStr">
        <is>
          <t>eng</t>
        </is>
      </c>
      <c r="P639" t="inlineStr">
        <is>
          <t>nyu</t>
        </is>
      </c>
      <c r="R639" t="inlineStr">
        <is>
          <t xml:space="preserve">HV </t>
        </is>
      </c>
      <c r="S639" t="n">
        <v>1</v>
      </c>
      <c r="T639" t="n">
        <v>1</v>
      </c>
      <c r="U639" t="inlineStr">
        <is>
          <t>2009-10-06</t>
        </is>
      </c>
      <c r="V639" t="inlineStr">
        <is>
          <t>2009-10-06</t>
        </is>
      </c>
      <c r="W639" t="inlineStr">
        <is>
          <t>2009-10-06</t>
        </is>
      </c>
      <c r="X639" t="inlineStr">
        <is>
          <t>2009-10-06</t>
        </is>
      </c>
      <c r="Y639" t="n">
        <v>431</v>
      </c>
      <c r="Z639" t="n">
        <v>395</v>
      </c>
      <c r="AA639" t="n">
        <v>739</v>
      </c>
      <c r="AB639" t="n">
        <v>3</v>
      </c>
      <c r="AC639" t="n">
        <v>23</v>
      </c>
      <c r="AD639" t="n">
        <v>16</v>
      </c>
      <c r="AE639" t="n">
        <v>31</v>
      </c>
      <c r="AF639" t="n">
        <v>6</v>
      </c>
      <c r="AG639" t="n">
        <v>7</v>
      </c>
      <c r="AH639" t="n">
        <v>2</v>
      </c>
      <c r="AI639" t="n">
        <v>7</v>
      </c>
      <c r="AJ639" t="n">
        <v>10</v>
      </c>
      <c r="AK639" t="n">
        <v>11</v>
      </c>
      <c r="AL639" t="n">
        <v>2</v>
      </c>
      <c r="AM639" t="n">
        <v>11</v>
      </c>
      <c r="AN639" t="n">
        <v>0</v>
      </c>
      <c r="AO639" t="n">
        <v>0</v>
      </c>
      <c r="AP639" t="inlineStr">
        <is>
          <t>No</t>
        </is>
      </c>
      <c r="AQ639" t="inlineStr">
        <is>
          <t>No</t>
        </is>
      </c>
      <c r="AS639">
        <f>HYPERLINK("https://creighton-primo.hosted.exlibrisgroup.com/primo-explore/search?tab=default_tab&amp;search_scope=EVERYTHING&amp;vid=01CRU&amp;lang=en_US&amp;offset=0&amp;query=any,contains,991005334319702656","Catalog Record")</f>
        <v/>
      </c>
      <c r="AT639">
        <f>HYPERLINK("http://www.worldcat.org/oclc/173683729","WorldCat Record")</f>
        <v/>
      </c>
      <c r="AU639" t="inlineStr">
        <is>
          <t>307204730:eng</t>
        </is>
      </c>
      <c r="AV639" t="inlineStr">
        <is>
          <t>173683729</t>
        </is>
      </c>
      <c r="AW639" t="inlineStr">
        <is>
          <t>991005334319702656</t>
        </is>
      </c>
      <c r="AX639" t="inlineStr">
        <is>
          <t>991005334319702656</t>
        </is>
      </c>
      <c r="AY639" t="inlineStr">
        <is>
          <t>2268939120002656</t>
        </is>
      </c>
      <c r="AZ639" t="inlineStr">
        <is>
          <t>BOOK</t>
        </is>
      </c>
      <c r="BB639" t="inlineStr">
        <is>
          <t>9780195336214</t>
        </is>
      </c>
      <c r="BC639" t="inlineStr">
        <is>
          <t>32285005546816</t>
        </is>
      </c>
      <c r="BD639" t="inlineStr">
        <is>
          <t>893332796</t>
        </is>
      </c>
    </row>
    <row r="640">
      <c r="A640" t="inlineStr">
        <is>
          <t>No</t>
        </is>
      </c>
      <c r="B640" t="inlineStr">
        <is>
          <t>HV6433.35 .J64 2008</t>
        </is>
      </c>
      <c r="C640" t="inlineStr">
        <is>
          <t>0                      HV 6433350J  64          2008</t>
        </is>
      </c>
      <c r="D640" t="inlineStr">
        <is>
          <t>Bioterror : anthrax, influenza, and the future of public health security / R. William Johnstone.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Johnstone, R. William, 1953-</t>
        </is>
      </c>
      <c r="L640" t="inlineStr">
        <is>
          <t>Westport, Conn. : Praeger Security International, 2008.</t>
        </is>
      </c>
      <c r="M640" t="inlineStr">
        <is>
          <t>2008</t>
        </is>
      </c>
      <c r="O640" t="inlineStr">
        <is>
          <t>eng</t>
        </is>
      </c>
      <c r="P640" t="inlineStr">
        <is>
          <t>ctu</t>
        </is>
      </c>
      <c r="R640" t="inlineStr">
        <is>
          <t xml:space="preserve">HV </t>
        </is>
      </c>
      <c r="S640" t="n">
        <v>1</v>
      </c>
      <c r="T640" t="n">
        <v>1</v>
      </c>
      <c r="U640" t="inlineStr">
        <is>
          <t>2009-10-07</t>
        </is>
      </c>
      <c r="V640" t="inlineStr">
        <is>
          <t>2009-10-07</t>
        </is>
      </c>
      <c r="W640" t="inlineStr">
        <is>
          <t>2009-10-07</t>
        </is>
      </c>
      <c r="X640" t="inlineStr">
        <is>
          <t>2009-10-07</t>
        </is>
      </c>
      <c r="Y640" t="n">
        <v>400</v>
      </c>
      <c r="Z640" t="n">
        <v>360</v>
      </c>
      <c r="AA640" t="n">
        <v>1051</v>
      </c>
      <c r="AB640" t="n">
        <v>2</v>
      </c>
      <c r="AC640" t="n">
        <v>21</v>
      </c>
      <c r="AD640" t="n">
        <v>10</v>
      </c>
      <c r="AE640" t="n">
        <v>24</v>
      </c>
      <c r="AF640" t="n">
        <v>3</v>
      </c>
      <c r="AG640" t="n">
        <v>8</v>
      </c>
      <c r="AH640" t="n">
        <v>3</v>
      </c>
      <c r="AI640" t="n">
        <v>4</v>
      </c>
      <c r="AJ640" t="n">
        <v>6</v>
      </c>
      <c r="AK640" t="n">
        <v>7</v>
      </c>
      <c r="AL640" t="n">
        <v>1</v>
      </c>
      <c r="AM640" t="n">
        <v>9</v>
      </c>
      <c r="AN640" t="n">
        <v>1</v>
      </c>
      <c r="AO640" t="n">
        <v>2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HYPERLINK("http://catalog.hathitrust.org/Record/005884130","HathiTrust Record")</f>
        <v/>
      </c>
      <c r="AS640">
        <f>HYPERLINK("https://creighton-primo.hosted.exlibrisgroup.com/primo-explore/search?tab=default_tab&amp;search_scope=EVERYTHING&amp;vid=01CRU&amp;lang=en_US&amp;offset=0&amp;query=any,contains,991005333479702656","Catalog Record")</f>
        <v/>
      </c>
      <c r="AT640">
        <f>HYPERLINK("http://www.worldcat.org/oclc/226357714","WorldCat Record")</f>
        <v/>
      </c>
      <c r="AU640" t="inlineStr">
        <is>
          <t>800985835:eng</t>
        </is>
      </c>
      <c r="AV640" t="inlineStr">
        <is>
          <t>226357714</t>
        </is>
      </c>
      <c r="AW640" t="inlineStr">
        <is>
          <t>991005333479702656</t>
        </is>
      </c>
      <c r="AX640" t="inlineStr">
        <is>
          <t>991005333479702656</t>
        </is>
      </c>
      <c r="AY640" t="inlineStr">
        <is>
          <t>2256180980002656</t>
        </is>
      </c>
      <c r="AZ640" t="inlineStr">
        <is>
          <t>BOOK</t>
        </is>
      </c>
      <c r="BB640" t="inlineStr">
        <is>
          <t>9780275993269</t>
        </is>
      </c>
      <c r="BC640" t="inlineStr">
        <is>
          <t>32285005546964</t>
        </is>
      </c>
      <c r="BD640" t="inlineStr">
        <is>
          <t>893418755</t>
        </is>
      </c>
    </row>
    <row r="641">
      <c r="A641" t="inlineStr">
        <is>
          <t>No</t>
        </is>
      </c>
      <c r="B641" t="inlineStr">
        <is>
          <t>HV6433.86 .C37 2008</t>
        </is>
      </c>
      <c r="C641" t="inlineStr">
        <is>
          <t>0                      HV 6433860C  37          2008</t>
        </is>
      </c>
      <c r="D641" t="inlineStr">
        <is>
          <t>Nuclear insecurity : understanding the threat from rogue nations and terrorists / Jack Caravelli.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Caravelli, Jack, 1952-</t>
        </is>
      </c>
      <c r="L641" t="inlineStr">
        <is>
          <t>Westport, Conn. : Praeger Security International, 2008.</t>
        </is>
      </c>
      <c r="M641" t="inlineStr">
        <is>
          <t>2008</t>
        </is>
      </c>
      <c r="O641" t="inlineStr">
        <is>
          <t>eng</t>
        </is>
      </c>
      <c r="P641" t="inlineStr">
        <is>
          <t>ctu</t>
        </is>
      </c>
      <c r="R641" t="inlineStr">
        <is>
          <t xml:space="preserve">HV </t>
        </is>
      </c>
      <c r="S641" t="n">
        <v>1</v>
      </c>
      <c r="T641" t="n">
        <v>1</v>
      </c>
      <c r="U641" t="inlineStr">
        <is>
          <t>2008-10-15</t>
        </is>
      </c>
      <c r="V641" t="inlineStr">
        <is>
          <t>2008-10-15</t>
        </is>
      </c>
      <c r="W641" t="inlineStr">
        <is>
          <t>2008-10-15</t>
        </is>
      </c>
      <c r="X641" t="inlineStr">
        <is>
          <t>2008-10-15</t>
        </is>
      </c>
      <c r="Y641" t="n">
        <v>306</v>
      </c>
      <c r="Z641" t="n">
        <v>270</v>
      </c>
      <c r="AA641" t="n">
        <v>925</v>
      </c>
      <c r="AB641" t="n">
        <v>2</v>
      </c>
      <c r="AC641" t="n">
        <v>14</v>
      </c>
      <c r="AD641" t="n">
        <v>14</v>
      </c>
      <c r="AE641" t="n">
        <v>31</v>
      </c>
      <c r="AF641" t="n">
        <v>5</v>
      </c>
      <c r="AG641" t="n">
        <v>12</v>
      </c>
      <c r="AH641" t="n">
        <v>2</v>
      </c>
      <c r="AI641" t="n">
        <v>5</v>
      </c>
      <c r="AJ641" t="n">
        <v>10</v>
      </c>
      <c r="AK641" t="n">
        <v>10</v>
      </c>
      <c r="AL641" t="n">
        <v>1</v>
      </c>
      <c r="AM641" t="n">
        <v>9</v>
      </c>
      <c r="AN641" t="n">
        <v>1</v>
      </c>
      <c r="AO641" t="n">
        <v>1</v>
      </c>
      <c r="AP641" t="inlineStr">
        <is>
          <t>No</t>
        </is>
      </c>
      <c r="AQ641" t="inlineStr">
        <is>
          <t>No</t>
        </is>
      </c>
      <c r="AS641">
        <f>HYPERLINK("https://creighton-primo.hosted.exlibrisgroup.com/primo-explore/search?tab=default_tab&amp;search_scope=EVERYTHING&amp;vid=01CRU&amp;lang=en_US&amp;offset=0&amp;query=any,contains,991005270239702656","Catalog Record")</f>
        <v/>
      </c>
      <c r="AT641">
        <f>HYPERLINK("http://www.worldcat.org/oclc/155757047","WorldCat Record")</f>
        <v/>
      </c>
      <c r="AU641" t="inlineStr">
        <is>
          <t>801746184:eng</t>
        </is>
      </c>
      <c r="AV641" t="inlineStr">
        <is>
          <t>155757047</t>
        </is>
      </c>
      <c r="AW641" t="inlineStr">
        <is>
          <t>991005270239702656</t>
        </is>
      </c>
      <c r="AX641" t="inlineStr">
        <is>
          <t>991005270239702656</t>
        </is>
      </c>
      <c r="AY641" t="inlineStr">
        <is>
          <t>2268845250002656</t>
        </is>
      </c>
      <c r="AZ641" t="inlineStr">
        <is>
          <t>BOOK</t>
        </is>
      </c>
      <c r="BB641" t="inlineStr">
        <is>
          <t>9780275997465</t>
        </is>
      </c>
      <c r="BC641" t="inlineStr">
        <is>
          <t>32285005463954</t>
        </is>
      </c>
      <c r="BD641" t="inlineStr">
        <is>
          <t>893889950</t>
        </is>
      </c>
    </row>
    <row r="642">
      <c r="A642" t="inlineStr">
        <is>
          <t>No</t>
        </is>
      </c>
      <c r="B642" t="inlineStr">
        <is>
          <t>HV6433.A7 M37 1999</t>
        </is>
      </c>
      <c r="C642" t="inlineStr">
        <is>
          <t>0                      HV 6433000A  7                  M  37          1999</t>
        </is>
      </c>
      <c r="D642" t="inlineStr">
        <is>
          <t>God's assassins : state terrorism in Argentina in the 1970s / Patricia Marchak ; in collaboration with William Marchak.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Marchak, M. Patricia.</t>
        </is>
      </c>
      <c r="L642" t="inlineStr">
        <is>
          <t>Montreal : McGill-Queen's University Press, c1999.</t>
        </is>
      </c>
      <c r="M642" t="inlineStr">
        <is>
          <t>1999</t>
        </is>
      </c>
      <c r="O642" t="inlineStr">
        <is>
          <t>eng</t>
        </is>
      </c>
      <c r="P642" t="inlineStr">
        <is>
          <t>quc</t>
        </is>
      </c>
      <c r="R642" t="inlineStr">
        <is>
          <t xml:space="preserve">HV </t>
        </is>
      </c>
      <c r="S642" t="n">
        <v>4</v>
      </c>
      <c r="T642" t="n">
        <v>4</v>
      </c>
      <c r="U642" t="inlineStr">
        <is>
          <t>2008-03-10</t>
        </is>
      </c>
      <c r="V642" t="inlineStr">
        <is>
          <t>2008-03-10</t>
        </is>
      </c>
      <c r="W642" t="inlineStr">
        <is>
          <t>2000-02-07</t>
        </is>
      </c>
      <c r="X642" t="inlineStr">
        <is>
          <t>2000-02-07</t>
        </is>
      </c>
      <c r="Y642" t="n">
        <v>512</v>
      </c>
      <c r="Z642" t="n">
        <v>419</v>
      </c>
      <c r="AA642" t="n">
        <v>825</v>
      </c>
      <c r="AB642" t="n">
        <v>3</v>
      </c>
      <c r="AC642" t="n">
        <v>6</v>
      </c>
      <c r="AD642" t="n">
        <v>25</v>
      </c>
      <c r="AE642" t="n">
        <v>33</v>
      </c>
      <c r="AF642" t="n">
        <v>8</v>
      </c>
      <c r="AG642" t="n">
        <v>12</v>
      </c>
      <c r="AH642" t="n">
        <v>6</v>
      </c>
      <c r="AI642" t="n">
        <v>9</v>
      </c>
      <c r="AJ642" t="n">
        <v>15</v>
      </c>
      <c r="AK642" t="n">
        <v>16</v>
      </c>
      <c r="AL642" t="n">
        <v>2</v>
      </c>
      <c r="AM642" t="n">
        <v>4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HYPERLINK("https://creighton-primo.hosted.exlibrisgroup.com/primo-explore/search?tab=default_tab&amp;search_scope=EVERYTHING&amp;vid=01CRU&amp;lang=en_US&amp;offset=0&amp;query=any,contains,991003038899702656","Catalog Record")</f>
        <v/>
      </c>
      <c r="AT642">
        <f>HYPERLINK("http://www.worldcat.org/oclc/41978162","WorldCat Record")</f>
        <v/>
      </c>
      <c r="AU642" t="inlineStr">
        <is>
          <t>838545159:eng</t>
        </is>
      </c>
      <c r="AV642" t="inlineStr">
        <is>
          <t>41978162</t>
        </is>
      </c>
      <c r="AW642" t="inlineStr">
        <is>
          <t>991003038899702656</t>
        </is>
      </c>
      <c r="AX642" t="inlineStr">
        <is>
          <t>991003038899702656</t>
        </is>
      </c>
      <c r="AY642" t="inlineStr">
        <is>
          <t>2272782540002656</t>
        </is>
      </c>
      <c r="AZ642" t="inlineStr">
        <is>
          <t>BOOK</t>
        </is>
      </c>
      <c r="BB642" t="inlineStr">
        <is>
          <t>9780773520134</t>
        </is>
      </c>
      <c r="BC642" t="inlineStr">
        <is>
          <t>32285003658910</t>
        </is>
      </c>
      <c r="BD642" t="inlineStr">
        <is>
          <t>893793256</t>
        </is>
      </c>
    </row>
    <row r="643">
      <c r="A643" t="inlineStr">
        <is>
          <t>No</t>
        </is>
      </c>
      <c r="B643" t="inlineStr">
        <is>
          <t>HV6433.A7 S57 1985</t>
        </is>
      </c>
      <c r="C643" t="inlineStr">
        <is>
          <t>0                      HV 6433000A  7                  S  57          1985</t>
        </is>
      </c>
      <c r="D643" t="inlineStr">
        <is>
          <t>The disappeared and the Mothers of the Plaza : the story of the 11,000 Argentinians who vanished / John Simpson and Jana Bennett.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Simpson, John, 1944-</t>
        </is>
      </c>
      <c r="L643" t="inlineStr">
        <is>
          <t>New York, N.Y. : St. Martin's Press, 1985.</t>
        </is>
      </c>
      <c r="M643" t="inlineStr">
        <is>
          <t>1985</t>
        </is>
      </c>
      <c r="N643" t="inlineStr">
        <is>
          <t>1st U.S. ed.</t>
        </is>
      </c>
      <c r="O643" t="inlineStr">
        <is>
          <t>eng</t>
        </is>
      </c>
      <c r="P643" t="inlineStr">
        <is>
          <t>nyu</t>
        </is>
      </c>
      <c r="R643" t="inlineStr">
        <is>
          <t xml:space="preserve">HV </t>
        </is>
      </c>
      <c r="S643" t="n">
        <v>10</v>
      </c>
      <c r="T643" t="n">
        <v>10</v>
      </c>
      <c r="U643" t="inlineStr">
        <is>
          <t>2008-04-08</t>
        </is>
      </c>
      <c r="V643" t="inlineStr">
        <is>
          <t>2008-04-08</t>
        </is>
      </c>
      <c r="W643" t="inlineStr">
        <is>
          <t>1990-07-06</t>
        </is>
      </c>
      <c r="X643" t="inlineStr">
        <is>
          <t>1990-07-06</t>
        </is>
      </c>
      <c r="Y643" t="n">
        <v>654</v>
      </c>
      <c r="Z643" t="n">
        <v>619</v>
      </c>
      <c r="AA643" t="n">
        <v>624</v>
      </c>
      <c r="AB643" t="n">
        <v>3</v>
      </c>
      <c r="AC643" t="n">
        <v>3</v>
      </c>
      <c r="AD643" t="n">
        <v>20</v>
      </c>
      <c r="AE643" t="n">
        <v>20</v>
      </c>
      <c r="AF643" t="n">
        <v>7</v>
      </c>
      <c r="AG643" t="n">
        <v>7</v>
      </c>
      <c r="AH643" t="n">
        <v>5</v>
      </c>
      <c r="AI643" t="n">
        <v>5</v>
      </c>
      <c r="AJ643" t="n">
        <v>13</v>
      </c>
      <c r="AK643" t="n">
        <v>13</v>
      </c>
      <c r="AL643" t="n">
        <v>0</v>
      </c>
      <c r="AM643" t="n">
        <v>0</v>
      </c>
      <c r="AN643" t="n">
        <v>1</v>
      </c>
      <c r="AO643" t="n">
        <v>1</v>
      </c>
      <c r="AP643" t="inlineStr">
        <is>
          <t>No</t>
        </is>
      </c>
      <c r="AQ643" t="inlineStr">
        <is>
          <t>No</t>
        </is>
      </c>
      <c r="AS643">
        <f>HYPERLINK("https://creighton-primo.hosted.exlibrisgroup.com/primo-explore/search?tab=default_tab&amp;search_scope=EVERYTHING&amp;vid=01CRU&amp;lang=en_US&amp;offset=0&amp;query=any,contains,991000643069702656","Catalog Record")</f>
        <v/>
      </c>
      <c r="AT643">
        <f>HYPERLINK("http://www.worldcat.org/oclc/12107704","WorldCat Record")</f>
        <v/>
      </c>
      <c r="AU643" t="inlineStr">
        <is>
          <t>370856558:eng</t>
        </is>
      </c>
      <c r="AV643" t="inlineStr">
        <is>
          <t>12107704</t>
        </is>
      </c>
      <c r="AW643" t="inlineStr">
        <is>
          <t>991000643069702656</t>
        </is>
      </c>
      <c r="AX643" t="inlineStr">
        <is>
          <t>991000643069702656</t>
        </is>
      </c>
      <c r="AY643" t="inlineStr">
        <is>
          <t>2268239480002656</t>
        </is>
      </c>
      <c r="AZ643" t="inlineStr">
        <is>
          <t>BOOK</t>
        </is>
      </c>
      <c r="BB643" t="inlineStr">
        <is>
          <t>9780312212292</t>
        </is>
      </c>
      <c r="BC643" t="inlineStr">
        <is>
          <t>32285000226158</t>
        </is>
      </c>
      <c r="BD643" t="inlineStr">
        <is>
          <t>893595746</t>
        </is>
      </c>
    </row>
    <row r="644">
      <c r="A644" t="inlineStr">
        <is>
          <t>No</t>
        </is>
      </c>
      <c r="B644" t="inlineStr">
        <is>
          <t>HV6433.G7 I74 1986</t>
        </is>
      </c>
      <c r="C644" t="inlineStr">
        <is>
          <t>0                      HV 6433000G  7                  I  74          1986</t>
        </is>
      </c>
      <c r="D644" t="inlineStr">
        <is>
          <t>Ireland's terrorist dilemma / edited by Yonah Alexander, Alan O'Day.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Dordrecht, The Netherlands ; Boston : M. Nijhoff ; Hingham, MA, USA : Distributors for the U.S. and Canada, Kluwer Academic, 1986.</t>
        </is>
      </c>
      <c r="M644" t="inlineStr">
        <is>
          <t>1986</t>
        </is>
      </c>
      <c r="O644" t="inlineStr">
        <is>
          <t>eng</t>
        </is>
      </c>
      <c r="P644" t="inlineStr">
        <is>
          <t xml:space="preserve">ne </t>
        </is>
      </c>
      <c r="Q644" t="inlineStr">
        <is>
          <t>International studies on terrorism ; 2</t>
        </is>
      </c>
      <c r="R644" t="inlineStr">
        <is>
          <t xml:space="preserve">HV </t>
        </is>
      </c>
      <c r="S644" t="n">
        <v>7</v>
      </c>
      <c r="T644" t="n">
        <v>7</v>
      </c>
      <c r="U644" t="inlineStr">
        <is>
          <t>2007-06-21</t>
        </is>
      </c>
      <c r="V644" t="inlineStr">
        <is>
          <t>2007-06-21</t>
        </is>
      </c>
      <c r="W644" t="inlineStr">
        <is>
          <t>1990-07-06</t>
        </is>
      </c>
      <c r="X644" t="inlineStr">
        <is>
          <t>1990-07-06</t>
        </is>
      </c>
      <c r="Y644" t="n">
        <v>240</v>
      </c>
      <c r="Z644" t="n">
        <v>160</v>
      </c>
      <c r="AA644" t="n">
        <v>161</v>
      </c>
      <c r="AB644" t="n">
        <v>2</v>
      </c>
      <c r="AC644" t="n">
        <v>2</v>
      </c>
      <c r="AD644" t="n">
        <v>7</v>
      </c>
      <c r="AE644" t="n">
        <v>7</v>
      </c>
      <c r="AF644" t="n">
        <v>0</v>
      </c>
      <c r="AG644" t="n">
        <v>0</v>
      </c>
      <c r="AH644" t="n">
        <v>1</v>
      </c>
      <c r="AI644" t="n">
        <v>1</v>
      </c>
      <c r="AJ644" t="n">
        <v>2</v>
      </c>
      <c r="AK644" t="n">
        <v>2</v>
      </c>
      <c r="AL644" t="n">
        <v>1</v>
      </c>
      <c r="AM644" t="n">
        <v>1</v>
      </c>
      <c r="AN644" t="n">
        <v>3</v>
      </c>
      <c r="AO644" t="n">
        <v>3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HYPERLINK("https://creighton-primo.hosted.exlibrisgroup.com/primo-explore/search?tab=default_tab&amp;search_scope=EVERYTHING&amp;vid=01CRU&amp;lang=en_US&amp;offset=0&amp;query=any,contains,991000792139702656","Catalog Record")</f>
        <v/>
      </c>
      <c r="AT644">
        <f>HYPERLINK("http://www.worldcat.org/oclc/13159095","WorldCat Record")</f>
        <v/>
      </c>
      <c r="AU644" t="inlineStr">
        <is>
          <t>368300982:eng</t>
        </is>
      </c>
      <c r="AV644" t="inlineStr">
        <is>
          <t>13159095</t>
        </is>
      </c>
      <c r="AW644" t="inlineStr">
        <is>
          <t>991000792139702656</t>
        </is>
      </c>
      <c r="AX644" t="inlineStr">
        <is>
          <t>991000792139702656</t>
        </is>
      </c>
      <c r="AY644" t="inlineStr">
        <is>
          <t>2267646580002656</t>
        </is>
      </c>
      <c r="AZ644" t="inlineStr">
        <is>
          <t>BOOK</t>
        </is>
      </c>
      <c r="BB644" t="inlineStr">
        <is>
          <t>9780898389128</t>
        </is>
      </c>
      <c r="BC644" t="inlineStr">
        <is>
          <t>32285000226166</t>
        </is>
      </c>
      <c r="BD644" t="inlineStr">
        <is>
          <t>893237607</t>
        </is>
      </c>
    </row>
    <row r="645">
      <c r="A645" t="inlineStr">
        <is>
          <t>No</t>
        </is>
      </c>
      <c r="B645" t="inlineStr">
        <is>
          <t>HV6433.G7 I75 1989</t>
        </is>
      </c>
      <c r="C645" t="inlineStr">
        <is>
          <t>0                      HV 6433000G  7                  I  75          1989</t>
        </is>
      </c>
      <c r="D645" t="inlineStr">
        <is>
          <t>Ireland's terrorist trauma : interdisciplinary perspectives / edited by Yonah Alexander, Alan O'Day.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New York : St. Martin's Press, 1989.</t>
        </is>
      </c>
      <c r="M645" t="inlineStr">
        <is>
          <t>1989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HV </t>
        </is>
      </c>
      <c r="S645" t="n">
        <v>7</v>
      </c>
      <c r="T645" t="n">
        <v>7</v>
      </c>
      <c r="U645" t="inlineStr">
        <is>
          <t>2007-05-01</t>
        </is>
      </c>
      <c r="V645" t="inlineStr">
        <is>
          <t>2007-05-01</t>
        </is>
      </c>
      <c r="W645" t="inlineStr">
        <is>
          <t>1990-07-06</t>
        </is>
      </c>
      <c r="X645" t="inlineStr">
        <is>
          <t>1990-07-06</t>
        </is>
      </c>
      <c r="Y645" t="n">
        <v>180</v>
      </c>
      <c r="Z645" t="n">
        <v>160</v>
      </c>
      <c r="AA645" t="n">
        <v>176</v>
      </c>
      <c r="AB645" t="n">
        <v>1</v>
      </c>
      <c r="AC645" t="n">
        <v>1</v>
      </c>
      <c r="AD645" t="n">
        <v>5</v>
      </c>
      <c r="AE645" t="n">
        <v>6</v>
      </c>
      <c r="AF645" t="n">
        <v>1</v>
      </c>
      <c r="AG645" t="n">
        <v>1</v>
      </c>
      <c r="AH645" t="n">
        <v>4</v>
      </c>
      <c r="AI645" t="n">
        <v>4</v>
      </c>
      <c r="AJ645" t="n">
        <v>3</v>
      </c>
      <c r="AK645" t="n">
        <v>4</v>
      </c>
      <c r="AL645" t="n">
        <v>0</v>
      </c>
      <c r="AM645" t="n">
        <v>0</v>
      </c>
      <c r="AN645" t="n">
        <v>0</v>
      </c>
      <c r="AO645" t="n">
        <v>0</v>
      </c>
      <c r="AP645" t="inlineStr">
        <is>
          <t>No</t>
        </is>
      </c>
      <c r="AQ645" t="inlineStr">
        <is>
          <t>No</t>
        </is>
      </c>
      <c r="AS645">
        <f>HYPERLINK("https://creighton-primo.hosted.exlibrisgroup.com/primo-explore/search?tab=default_tab&amp;search_scope=EVERYTHING&amp;vid=01CRU&amp;lang=en_US&amp;offset=0&amp;query=any,contains,991001456949702656","Catalog Record")</f>
        <v/>
      </c>
      <c r="AT645">
        <f>HYPERLINK("http://www.worldcat.org/oclc/19388525","WorldCat Record")</f>
        <v/>
      </c>
      <c r="AU645" t="inlineStr">
        <is>
          <t>836888978:eng</t>
        </is>
      </c>
      <c r="AV645" t="inlineStr">
        <is>
          <t>19388525</t>
        </is>
      </c>
      <c r="AW645" t="inlineStr">
        <is>
          <t>991001456949702656</t>
        </is>
      </c>
      <c r="AX645" t="inlineStr">
        <is>
          <t>991001456949702656</t>
        </is>
      </c>
      <c r="AY645" t="inlineStr">
        <is>
          <t>2258775750002656</t>
        </is>
      </c>
      <c r="AZ645" t="inlineStr">
        <is>
          <t>BOOK</t>
        </is>
      </c>
      <c r="BB645" t="inlineStr">
        <is>
          <t>9780312025083</t>
        </is>
      </c>
      <c r="BC645" t="inlineStr">
        <is>
          <t>32285000226174</t>
        </is>
      </c>
      <c r="BD645" t="inlineStr">
        <is>
          <t>893891585</t>
        </is>
      </c>
    </row>
    <row r="646">
      <c r="A646" t="inlineStr">
        <is>
          <t>No</t>
        </is>
      </c>
      <c r="B646" t="inlineStr">
        <is>
          <t>HV6433.I4 U63 2009</t>
        </is>
      </c>
      <c r="C646" t="inlineStr">
        <is>
          <t>0                      HV 6433000I  4                  U  63          2009</t>
        </is>
      </c>
      <c r="D646" t="inlineStr">
        <is>
          <t>India's fragile borderlands : the dynamics of terrorism in north east India / Archana Upadhyay.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Upadhyay, Archana.</t>
        </is>
      </c>
      <c r="L646" t="inlineStr">
        <is>
          <t>London ; New York : I.B. Tauris, 2009.</t>
        </is>
      </c>
      <c r="M646" t="inlineStr">
        <is>
          <t>2009</t>
        </is>
      </c>
      <c r="O646" t="inlineStr">
        <is>
          <t>eng</t>
        </is>
      </c>
      <c r="P646" t="inlineStr">
        <is>
          <t>enk</t>
        </is>
      </c>
      <c r="Q646" t="inlineStr">
        <is>
          <t>Library of international relations ; 39</t>
        </is>
      </c>
      <c r="R646" t="inlineStr">
        <is>
          <t xml:space="preserve">HV </t>
        </is>
      </c>
      <c r="S646" t="n">
        <v>1</v>
      </c>
      <c r="T646" t="n">
        <v>1</v>
      </c>
      <c r="U646" t="inlineStr">
        <is>
          <t>2010-12-16</t>
        </is>
      </c>
      <c r="V646" t="inlineStr">
        <is>
          <t>2010-12-16</t>
        </is>
      </c>
      <c r="W646" t="inlineStr">
        <is>
          <t>2010-12-16</t>
        </is>
      </c>
      <c r="X646" t="inlineStr">
        <is>
          <t>2010-12-16</t>
        </is>
      </c>
      <c r="Y646" t="n">
        <v>148</v>
      </c>
      <c r="Z646" t="n">
        <v>98</v>
      </c>
      <c r="AA646" t="n">
        <v>717</v>
      </c>
      <c r="AB646" t="n">
        <v>3</v>
      </c>
      <c r="AC646" t="n">
        <v>17</v>
      </c>
      <c r="AD646" t="n">
        <v>4</v>
      </c>
      <c r="AE646" t="n">
        <v>16</v>
      </c>
      <c r="AF646" t="n">
        <v>1</v>
      </c>
      <c r="AG646" t="n">
        <v>5</v>
      </c>
      <c r="AH646" t="n">
        <v>1</v>
      </c>
      <c r="AI646" t="n">
        <v>2</v>
      </c>
      <c r="AJ646" t="n">
        <v>2</v>
      </c>
      <c r="AK646" t="n">
        <v>2</v>
      </c>
      <c r="AL646" t="n">
        <v>2</v>
      </c>
      <c r="AM646" t="n">
        <v>10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HYPERLINK("http://catalog.hathitrust.org/Record/006857757","HathiTrust Record")</f>
        <v/>
      </c>
      <c r="AS646">
        <f>HYPERLINK("https://creighton-primo.hosted.exlibrisgroup.com/primo-explore/search?tab=default_tab&amp;search_scope=EVERYTHING&amp;vid=01CRU&amp;lang=en_US&amp;offset=0&amp;query=any,contains,991000381329702656","Catalog Record")</f>
        <v/>
      </c>
      <c r="AT646">
        <f>HYPERLINK("http://www.worldcat.org/oclc/417146323","WorldCat Record")</f>
        <v/>
      </c>
      <c r="AU646" t="inlineStr">
        <is>
          <t>802577450:eng</t>
        </is>
      </c>
      <c r="AV646" t="inlineStr">
        <is>
          <t>417146323</t>
        </is>
      </c>
      <c r="AW646" t="inlineStr">
        <is>
          <t>991000381329702656</t>
        </is>
      </c>
      <c r="AX646" t="inlineStr">
        <is>
          <t>991000381329702656</t>
        </is>
      </c>
      <c r="AY646" t="inlineStr">
        <is>
          <t>2268175890002656</t>
        </is>
      </c>
      <c r="AZ646" t="inlineStr">
        <is>
          <t>BOOK</t>
        </is>
      </c>
      <c r="BB646" t="inlineStr">
        <is>
          <t>9781845115869</t>
        </is>
      </c>
      <c r="BC646" t="inlineStr">
        <is>
          <t>32285005651210</t>
        </is>
      </c>
      <c r="BD646" t="inlineStr">
        <is>
          <t>893777886</t>
        </is>
      </c>
    </row>
    <row r="647">
      <c r="A647" t="inlineStr">
        <is>
          <t>No</t>
        </is>
      </c>
      <c r="B647" t="inlineStr">
        <is>
          <t>HV6433.I72 H34 2007</t>
        </is>
      </c>
      <c r="C647" t="inlineStr">
        <is>
          <t>0                      HV 6433000I  72                 H  34          2007</t>
        </is>
      </c>
      <c r="D647" t="inlineStr">
        <is>
          <t>Suicide bombers in Iraq : the strategy and ideology of martyrdom / Mohammed M. Hafez.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Hafez, Mohammed M., 1970-</t>
        </is>
      </c>
      <c r="L647" t="inlineStr">
        <is>
          <t>Washington, D.C. : United States Institute of Peace Press, 2007.</t>
        </is>
      </c>
      <c r="M647" t="inlineStr">
        <is>
          <t>2007</t>
        </is>
      </c>
      <c r="O647" t="inlineStr">
        <is>
          <t>eng</t>
        </is>
      </c>
      <c r="P647" t="inlineStr">
        <is>
          <t>dcu</t>
        </is>
      </c>
      <c r="R647" t="inlineStr">
        <is>
          <t xml:space="preserve">HV </t>
        </is>
      </c>
      <c r="S647" t="n">
        <v>1</v>
      </c>
      <c r="T647" t="n">
        <v>1</v>
      </c>
      <c r="U647" t="inlineStr">
        <is>
          <t>2007-09-17</t>
        </is>
      </c>
      <c r="V647" t="inlineStr">
        <is>
          <t>2007-09-17</t>
        </is>
      </c>
      <c r="W647" t="inlineStr">
        <is>
          <t>2007-09-17</t>
        </is>
      </c>
      <c r="X647" t="inlineStr">
        <is>
          <t>2007-09-17</t>
        </is>
      </c>
      <c r="Y647" t="n">
        <v>621</v>
      </c>
      <c r="Z647" t="n">
        <v>528</v>
      </c>
      <c r="AA647" t="n">
        <v>532</v>
      </c>
      <c r="AB647" t="n">
        <v>4</v>
      </c>
      <c r="AC647" t="n">
        <v>4</v>
      </c>
      <c r="AD647" t="n">
        <v>20</v>
      </c>
      <c r="AE647" t="n">
        <v>20</v>
      </c>
      <c r="AF647" t="n">
        <v>7</v>
      </c>
      <c r="AG647" t="n">
        <v>7</v>
      </c>
      <c r="AH647" t="n">
        <v>5</v>
      </c>
      <c r="AI647" t="n">
        <v>5</v>
      </c>
      <c r="AJ647" t="n">
        <v>10</v>
      </c>
      <c r="AK647" t="n">
        <v>10</v>
      </c>
      <c r="AL647" t="n">
        <v>3</v>
      </c>
      <c r="AM647" t="n">
        <v>3</v>
      </c>
      <c r="AN647" t="n">
        <v>1</v>
      </c>
      <c r="AO647" t="n">
        <v>1</v>
      </c>
      <c r="AP647" t="inlineStr">
        <is>
          <t>No</t>
        </is>
      </c>
      <c r="AQ647" t="inlineStr">
        <is>
          <t>No</t>
        </is>
      </c>
      <c r="AS647">
        <f>HYPERLINK("https://creighton-primo.hosted.exlibrisgroup.com/primo-explore/search?tab=default_tab&amp;search_scope=EVERYTHING&amp;vid=01CRU&amp;lang=en_US&amp;offset=0&amp;query=any,contains,991005112769702656","Catalog Record")</f>
        <v/>
      </c>
      <c r="AT647">
        <f>HYPERLINK("http://www.worldcat.org/oclc/124036176","WorldCat Record")</f>
        <v/>
      </c>
      <c r="AU647" t="inlineStr">
        <is>
          <t>141168165:eng</t>
        </is>
      </c>
      <c r="AV647" t="inlineStr">
        <is>
          <t>124036176</t>
        </is>
      </c>
      <c r="AW647" t="inlineStr">
        <is>
          <t>991005112769702656</t>
        </is>
      </c>
      <c r="AX647" t="inlineStr">
        <is>
          <t>991005112769702656</t>
        </is>
      </c>
      <c r="AY647" t="inlineStr">
        <is>
          <t>2262262130002656</t>
        </is>
      </c>
      <c r="AZ647" t="inlineStr">
        <is>
          <t>BOOK</t>
        </is>
      </c>
      <c r="BB647" t="inlineStr">
        <is>
          <t>9781601270047</t>
        </is>
      </c>
      <c r="BC647" t="inlineStr">
        <is>
          <t>32285005325336</t>
        </is>
      </c>
      <c r="BD647" t="inlineStr">
        <is>
          <t>893242227</t>
        </is>
      </c>
    </row>
    <row r="648">
      <c r="A648" t="inlineStr">
        <is>
          <t>No</t>
        </is>
      </c>
      <c r="B648" t="inlineStr">
        <is>
          <t>HV6433.I73 I75 1991</t>
        </is>
      </c>
      <c r="C648" t="inlineStr">
        <is>
          <t>0                      HV 6433000I  73                 I  75          1991</t>
        </is>
      </c>
      <c r="D648" t="inlineStr">
        <is>
          <t>The Irish terrorism experience / edited by Yonah Alexander and Alan O'Day.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L648" t="inlineStr">
        <is>
          <t>Aldershot, Hants, England ; Brookfield, Vt., USA : Dartmouth, c1991.</t>
        </is>
      </c>
      <c r="M648" t="inlineStr">
        <is>
          <t>1991</t>
        </is>
      </c>
      <c r="O648" t="inlineStr">
        <is>
          <t>eng</t>
        </is>
      </c>
      <c r="P648" t="inlineStr">
        <is>
          <t>enk</t>
        </is>
      </c>
      <c r="R648" t="inlineStr">
        <is>
          <t xml:space="preserve">HV </t>
        </is>
      </c>
      <c r="S648" t="n">
        <v>15</v>
      </c>
      <c r="T648" t="n">
        <v>15</v>
      </c>
      <c r="U648" t="inlineStr">
        <is>
          <t>2007-06-21</t>
        </is>
      </c>
      <c r="V648" t="inlineStr">
        <is>
          <t>2007-06-21</t>
        </is>
      </c>
      <c r="W648" t="inlineStr">
        <is>
          <t>1992-10-19</t>
        </is>
      </c>
      <c r="X648" t="inlineStr">
        <is>
          <t>1992-10-19</t>
        </is>
      </c>
      <c r="Y648" t="n">
        <v>240</v>
      </c>
      <c r="Z648" t="n">
        <v>157</v>
      </c>
      <c r="AA648" t="n">
        <v>159</v>
      </c>
      <c r="AB648" t="n">
        <v>1</v>
      </c>
      <c r="AC648" t="n">
        <v>1</v>
      </c>
      <c r="AD648" t="n">
        <v>10</v>
      </c>
      <c r="AE648" t="n">
        <v>10</v>
      </c>
      <c r="AF648" t="n">
        <v>4</v>
      </c>
      <c r="AG648" t="n">
        <v>4</v>
      </c>
      <c r="AH648" t="n">
        <v>4</v>
      </c>
      <c r="AI648" t="n">
        <v>4</v>
      </c>
      <c r="AJ648" t="n">
        <v>3</v>
      </c>
      <c r="AK648" t="n">
        <v>3</v>
      </c>
      <c r="AL648" t="n">
        <v>0</v>
      </c>
      <c r="AM648" t="n">
        <v>0</v>
      </c>
      <c r="AN648" t="n">
        <v>2</v>
      </c>
      <c r="AO648" t="n">
        <v>2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HYPERLINK("http://catalog.hathitrust.org/Record/002505479","HathiTrust Record")</f>
        <v/>
      </c>
      <c r="AS648">
        <f>HYPERLINK("https://creighton-primo.hosted.exlibrisgroup.com/primo-explore/search?tab=default_tab&amp;search_scope=EVERYTHING&amp;vid=01CRU&amp;lang=en_US&amp;offset=0&amp;query=any,contains,991001861389702656","Catalog Record")</f>
        <v/>
      </c>
      <c r="AT648">
        <f>HYPERLINK("http://www.worldcat.org/oclc/23384185","WorldCat Record")</f>
        <v/>
      </c>
      <c r="AU648" t="inlineStr">
        <is>
          <t>350325762:eng</t>
        </is>
      </c>
      <c r="AV648" t="inlineStr">
        <is>
          <t>23384185</t>
        </is>
      </c>
      <c r="AW648" t="inlineStr">
        <is>
          <t>991001861389702656</t>
        </is>
      </c>
      <c r="AX648" t="inlineStr">
        <is>
          <t>991001861389702656</t>
        </is>
      </c>
      <c r="AY648" t="inlineStr">
        <is>
          <t>2267783240002656</t>
        </is>
      </c>
      <c r="AZ648" t="inlineStr">
        <is>
          <t>BOOK</t>
        </is>
      </c>
      <c r="BB648" t="inlineStr">
        <is>
          <t>9781855212107</t>
        </is>
      </c>
      <c r="BC648" t="inlineStr">
        <is>
          <t>32285001319846</t>
        </is>
      </c>
      <c r="BD648" t="inlineStr">
        <is>
          <t>893497490</t>
        </is>
      </c>
    </row>
    <row r="649">
      <c r="A649" t="inlineStr">
        <is>
          <t>No</t>
        </is>
      </c>
      <c r="B649" t="inlineStr">
        <is>
          <t>HV6433.I742 R39 2006</t>
        </is>
      </c>
      <c r="C649" t="inlineStr">
        <is>
          <t>0                      HV 6433000I  742                R  39          2006</t>
        </is>
      </c>
      <c r="D649" t="inlineStr">
        <is>
          <t>Jihad and international security / Jalil Roshandel and Sharon Chadha.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Rawshandil, Jalīl, 1944 or 1945-</t>
        </is>
      </c>
      <c r="L649" t="inlineStr">
        <is>
          <t>New York : Palgrave Macmillan, 2006.</t>
        </is>
      </c>
      <c r="M649" t="inlineStr">
        <is>
          <t>2006</t>
        </is>
      </c>
      <c r="N649" t="inlineStr">
        <is>
          <t>1st ed.</t>
        </is>
      </c>
      <c r="O649" t="inlineStr">
        <is>
          <t>eng</t>
        </is>
      </c>
      <c r="P649" t="inlineStr">
        <is>
          <t>nyu</t>
        </is>
      </c>
      <c r="R649" t="inlineStr">
        <is>
          <t xml:space="preserve">HV </t>
        </is>
      </c>
      <c r="S649" t="n">
        <v>2</v>
      </c>
      <c r="T649" t="n">
        <v>2</v>
      </c>
      <c r="U649" t="inlineStr">
        <is>
          <t>2008-05-01</t>
        </is>
      </c>
      <c r="V649" t="inlineStr">
        <is>
          <t>2008-05-01</t>
        </is>
      </c>
      <c r="W649" t="inlineStr">
        <is>
          <t>2007-10-30</t>
        </is>
      </c>
      <c r="X649" t="inlineStr">
        <is>
          <t>2007-10-30</t>
        </is>
      </c>
      <c r="Y649" t="n">
        <v>368</v>
      </c>
      <c r="Z649" t="n">
        <v>292</v>
      </c>
      <c r="AA649" t="n">
        <v>745</v>
      </c>
      <c r="AB649" t="n">
        <v>2</v>
      </c>
      <c r="AC649" t="n">
        <v>6</v>
      </c>
      <c r="AD649" t="n">
        <v>11</v>
      </c>
      <c r="AE649" t="n">
        <v>29</v>
      </c>
      <c r="AF649" t="n">
        <v>3</v>
      </c>
      <c r="AG649" t="n">
        <v>10</v>
      </c>
      <c r="AH649" t="n">
        <v>3</v>
      </c>
      <c r="AI649" t="n">
        <v>8</v>
      </c>
      <c r="AJ649" t="n">
        <v>7</v>
      </c>
      <c r="AK649" t="n">
        <v>11</v>
      </c>
      <c r="AL649" t="n">
        <v>1</v>
      </c>
      <c r="AM649" t="n">
        <v>5</v>
      </c>
      <c r="AN649" t="n">
        <v>1</v>
      </c>
      <c r="AO649" t="n">
        <v>2</v>
      </c>
      <c r="AP649" t="inlineStr">
        <is>
          <t>No</t>
        </is>
      </c>
      <c r="AQ649" t="inlineStr">
        <is>
          <t>No</t>
        </is>
      </c>
      <c r="AS649">
        <f>HYPERLINK("https://creighton-primo.hosted.exlibrisgroup.com/primo-explore/search?tab=default_tab&amp;search_scope=EVERYTHING&amp;vid=01CRU&amp;lang=en_US&amp;offset=0&amp;query=any,contains,991005124439702656","Catalog Record")</f>
        <v/>
      </c>
      <c r="AT649">
        <f>HYPERLINK("http://www.worldcat.org/oclc/65205159","WorldCat Record")</f>
        <v/>
      </c>
      <c r="AU649" t="inlineStr">
        <is>
          <t>49055442:eng</t>
        </is>
      </c>
      <c r="AV649" t="inlineStr">
        <is>
          <t>65205159</t>
        </is>
      </c>
      <c r="AW649" t="inlineStr">
        <is>
          <t>991005124439702656</t>
        </is>
      </c>
      <c r="AX649" t="inlineStr">
        <is>
          <t>991005124439702656</t>
        </is>
      </c>
      <c r="AY649" t="inlineStr">
        <is>
          <t>2255564360002656</t>
        </is>
      </c>
      <c r="AZ649" t="inlineStr">
        <is>
          <t>BOOK</t>
        </is>
      </c>
      <c r="BB649" t="inlineStr">
        <is>
          <t>9781403971913</t>
        </is>
      </c>
      <c r="BC649" t="inlineStr">
        <is>
          <t>32285005363220</t>
        </is>
      </c>
      <c r="BD649" t="inlineStr">
        <is>
          <t>893344682</t>
        </is>
      </c>
    </row>
    <row r="650">
      <c r="A650" t="inlineStr">
        <is>
          <t>No</t>
        </is>
      </c>
      <c r="B650" t="inlineStr">
        <is>
          <t>HV6433.I75 P473 2009</t>
        </is>
      </c>
      <c r="C650" t="inlineStr">
        <is>
          <t>0                      HV 6433000I  75                 P  473         2009</t>
        </is>
      </c>
      <c r="D650" t="inlineStr">
        <is>
          <t>Jewish terrorism in Israel / Ami Pedahzur &amp; Arie Perliger.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Pedahzur, Ami.</t>
        </is>
      </c>
      <c r="L650" t="inlineStr">
        <is>
          <t>New York : Columbia University Press, c2009.</t>
        </is>
      </c>
      <c r="M650" t="inlineStr">
        <is>
          <t>2009</t>
        </is>
      </c>
      <c r="O650" t="inlineStr">
        <is>
          <t>eng</t>
        </is>
      </c>
      <c r="P650" t="inlineStr">
        <is>
          <t>nyu</t>
        </is>
      </c>
      <c r="Q650" t="inlineStr">
        <is>
          <t>Columbia studies in terrorism and irregular warfare</t>
        </is>
      </c>
      <c r="R650" t="inlineStr">
        <is>
          <t xml:space="preserve">HV </t>
        </is>
      </c>
      <c r="S650" t="n">
        <v>2</v>
      </c>
      <c r="T650" t="n">
        <v>2</v>
      </c>
      <c r="U650" t="inlineStr">
        <is>
          <t>2010-09-08</t>
        </is>
      </c>
      <c r="V650" t="inlineStr">
        <is>
          <t>2010-09-08</t>
        </is>
      </c>
      <c r="W650" t="inlineStr">
        <is>
          <t>2010-04-28</t>
        </is>
      </c>
      <c r="X650" t="inlineStr">
        <is>
          <t>2010-04-28</t>
        </is>
      </c>
      <c r="Y650" t="n">
        <v>467</v>
      </c>
      <c r="Z650" t="n">
        <v>388</v>
      </c>
      <c r="AA650" t="n">
        <v>427</v>
      </c>
      <c r="AB650" t="n">
        <v>5</v>
      </c>
      <c r="AC650" t="n">
        <v>5</v>
      </c>
      <c r="AD650" t="n">
        <v>19</v>
      </c>
      <c r="AE650" t="n">
        <v>21</v>
      </c>
      <c r="AF650" t="n">
        <v>6</v>
      </c>
      <c r="AG650" t="n">
        <v>8</v>
      </c>
      <c r="AH650" t="n">
        <v>5</v>
      </c>
      <c r="AI650" t="n">
        <v>6</v>
      </c>
      <c r="AJ650" t="n">
        <v>9</v>
      </c>
      <c r="AK650" t="n">
        <v>9</v>
      </c>
      <c r="AL650" t="n">
        <v>4</v>
      </c>
      <c r="AM650" t="n">
        <v>4</v>
      </c>
      <c r="AN650" t="n">
        <v>0</v>
      </c>
      <c r="AO650" t="n">
        <v>0</v>
      </c>
      <c r="AP650" t="inlineStr">
        <is>
          <t>No</t>
        </is>
      </c>
      <c r="AQ650" t="inlineStr">
        <is>
          <t>No</t>
        </is>
      </c>
      <c r="AS650">
        <f>HYPERLINK("https://creighton-primo.hosted.exlibrisgroup.com/primo-explore/search?tab=default_tab&amp;search_scope=EVERYTHING&amp;vid=01CRU&amp;lang=en_US&amp;offset=0&amp;query=any,contains,991005388709702656","Catalog Record")</f>
        <v/>
      </c>
      <c r="AT650">
        <f>HYPERLINK("http://www.worldcat.org/oclc/317068141","WorldCat Record")</f>
        <v/>
      </c>
      <c r="AU650" t="inlineStr">
        <is>
          <t>194622645:eng</t>
        </is>
      </c>
      <c r="AV650" t="inlineStr">
        <is>
          <t>317068141</t>
        </is>
      </c>
      <c r="AW650" t="inlineStr">
        <is>
          <t>991005388709702656</t>
        </is>
      </c>
      <c r="AX650" t="inlineStr">
        <is>
          <t>991005388709702656</t>
        </is>
      </c>
      <c r="AY650" t="inlineStr">
        <is>
          <t>2258773280002656</t>
        </is>
      </c>
      <c r="AZ650" t="inlineStr">
        <is>
          <t>BOOK</t>
        </is>
      </c>
      <c r="BB650" t="inlineStr">
        <is>
          <t>9780231154468</t>
        </is>
      </c>
      <c r="BC650" t="inlineStr">
        <is>
          <t>32285005568323</t>
        </is>
      </c>
      <c r="BD650" t="inlineStr">
        <is>
          <t>893714017</t>
        </is>
      </c>
    </row>
    <row r="651">
      <c r="A651" t="inlineStr">
        <is>
          <t>No</t>
        </is>
      </c>
      <c r="B651" t="inlineStr">
        <is>
          <t>HV6433.J25 C37 2004</t>
        </is>
      </c>
      <c r="C651" t="inlineStr">
        <is>
          <t>0                      HV 6433000J  25                 C  37          2004</t>
        </is>
      </c>
      <c r="D651" t="inlineStr">
        <is>
          <t>Caribbean security in the age of terror : challenge and change / edited by Ivelaw Lloyd Griffith.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L651" t="inlineStr">
        <is>
          <t>Kingston, Jamaica : Ian Randle Publishers, 2004.</t>
        </is>
      </c>
      <c r="M651" t="inlineStr">
        <is>
          <t>2004</t>
        </is>
      </c>
      <c r="O651" t="inlineStr">
        <is>
          <t>eng</t>
        </is>
      </c>
      <c r="P651" t="inlineStr">
        <is>
          <t xml:space="preserve">jm </t>
        </is>
      </c>
      <c r="R651" t="inlineStr">
        <is>
          <t xml:space="preserve">HV </t>
        </is>
      </c>
      <c r="S651" t="n">
        <v>1</v>
      </c>
      <c r="T651" t="n">
        <v>1</v>
      </c>
      <c r="U651" t="inlineStr">
        <is>
          <t>2010-04-13</t>
        </is>
      </c>
      <c r="V651" t="inlineStr">
        <is>
          <t>2010-04-13</t>
        </is>
      </c>
      <c r="W651" t="inlineStr">
        <is>
          <t>2006-02-15</t>
        </is>
      </c>
      <c r="X651" t="inlineStr">
        <is>
          <t>2006-02-15</t>
        </is>
      </c>
      <c r="Y651" t="n">
        <v>125</v>
      </c>
      <c r="Z651" t="n">
        <v>90</v>
      </c>
      <c r="AA651" t="n">
        <v>108</v>
      </c>
      <c r="AB651" t="n">
        <v>1</v>
      </c>
      <c r="AC651" t="n">
        <v>2</v>
      </c>
      <c r="AD651" t="n">
        <v>6</v>
      </c>
      <c r="AE651" t="n">
        <v>7</v>
      </c>
      <c r="AF651" t="n">
        <v>0</v>
      </c>
      <c r="AG651" t="n">
        <v>0</v>
      </c>
      <c r="AH651" t="n">
        <v>4</v>
      </c>
      <c r="AI651" t="n">
        <v>4</v>
      </c>
      <c r="AJ651" t="n">
        <v>4</v>
      </c>
      <c r="AK651" t="n">
        <v>4</v>
      </c>
      <c r="AL651" t="n">
        <v>0</v>
      </c>
      <c r="AM651" t="n">
        <v>1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HYPERLINK("http://catalog.hathitrust.org/Record/008316428","HathiTrust Record")</f>
        <v/>
      </c>
      <c r="AS651">
        <f>HYPERLINK("https://creighton-primo.hosted.exlibrisgroup.com/primo-explore/search?tab=default_tab&amp;search_scope=EVERYTHING&amp;vid=01CRU&amp;lang=en_US&amp;offset=0&amp;query=any,contains,991004742519702656","Catalog Record")</f>
        <v/>
      </c>
      <c r="AT651">
        <f>HYPERLINK("http://www.worldcat.org/oclc/55233553","WorldCat Record")</f>
        <v/>
      </c>
      <c r="AU651" t="inlineStr">
        <is>
          <t>890891136:eng</t>
        </is>
      </c>
      <c r="AV651" t="inlineStr">
        <is>
          <t>55233553</t>
        </is>
      </c>
      <c r="AW651" t="inlineStr">
        <is>
          <t>991004742519702656</t>
        </is>
      </c>
      <c r="AX651" t="inlineStr">
        <is>
          <t>991004742519702656</t>
        </is>
      </c>
      <c r="AY651" t="inlineStr">
        <is>
          <t>2254784070002656</t>
        </is>
      </c>
      <c r="AZ651" t="inlineStr">
        <is>
          <t>BOOK</t>
        </is>
      </c>
      <c r="BB651" t="inlineStr">
        <is>
          <t>9780975352908</t>
        </is>
      </c>
      <c r="BC651" t="inlineStr">
        <is>
          <t>32285005184402</t>
        </is>
      </c>
      <c r="BD651" t="inlineStr">
        <is>
          <t>893229778</t>
        </is>
      </c>
    </row>
    <row r="652">
      <c r="A652" t="inlineStr">
        <is>
          <t>No</t>
        </is>
      </c>
      <c r="B652" t="inlineStr">
        <is>
          <t>HV6433.M5 C53 2002</t>
        </is>
      </c>
      <c r="C652" t="inlineStr">
        <is>
          <t>0                      HV 6433000M  5                  C  53          2002</t>
        </is>
      </c>
      <c r="D652" t="inlineStr">
        <is>
          <t>Serenade of suffering : a portrait of Middle East terrorism, 1968-1993 / Richard J. Chasdi.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Chasdi, Richard J.</t>
        </is>
      </c>
      <c r="L652" t="inlineStr">
        <is>
          <t>Lanham, Md. ; Oxford : Lexington, 2002.</t>
        </is>
      </c>
      <c r="M652" t="inlineStr">
        <is>
          <t>2002</t>
        </is>
      </c>
      <c r="O652" t="inlineStr">
        <is>
          <t>eng</t>
        </is>
      </c>
      <c r="P652" t="inlineStr">
        <is>
          <t>mdu</t>
        </is>
      </c>
      <c r="R652" t="inlineStr">
        <is>
          <t xml:space="preserve">HV </t>
        </is>
      </c>
      <c r="S652" t="n">
        <v>3</v>
      </c>
      <c r="T652" t="n">
        <v>3</v>
      </c>
      <c r="U652" t="inlineStr">
        <is>
          <t>2006-04-14</t>
        </is>
      </c>
      <c r="V652" t="inlineStr">
        <is>
          <t>2006-04-14</t>
        </is>
      </c>
      <c r="W652" t="inlineStr">
        <is>
          <t>2003-10-27</t>
        </is>
      </c>
      <c r="X652" t="inlineStr">
        <is>
          <t>2003-10-27</t>
        </is>
      </c>
      <c r="Y652" t="n">
        <v>14</v>
      </c>
      <c r="Z652" t="n">
        <v>9</v>
      </c>
      <c r="AA652" t="n">
        <v>477</v>
      </c>
      <c r="AB652" t="n">
        <v>1</v>
      </c>
      <c r="AC652" t="n">
        <v>2</v>
      </c>
      <c r="AD652" t="n">
        <v>0</v>
      </c>
      <c r="AE652" t="n">
        <v>28</v>
      </c>
      <c r="AF652" t="n">
        <v>0</v>
      </c>
      <c r="AG652" t="n">
        <v>14</v>
      </c>
      <c r="AH652" t="n">
        <v>0</v>
      </c>
      <c r="AI652" t="n">
        <v>7</v>
      </c>
      <c r="AJ652" t="n">
        <v>0</v>
      </c>
      <c r="AK652" t="n">
        <v>14</v>
      </c>
      <c r="AL652" t="n">
        <v>0</v>
      </c>
      <c r="AM652" t="n">
        <v>1</v>
      </c>
      <c r="AN652" t="n">
        <v>0</v>
      </c>
      <c r="AO652" t="n">
        <v>1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HYPERLINK("https://creighton-primo.hosted.exlibrisgroup.com/primo-explore/search?tab=default_tab&amp;search_scope=EVERYTHING&amp;vid=01CRU&amp;lang=en_US&amp;offset=0&amp;query=any,contains,991004157009702656","Catalog Record")</f>
        <v/>
      </c>
      <c r="AT652">
        <f>HYPERLINK("http://www.worldcat.org/oclc/49394359","WorldCat Record")</f>
        <v/>
      </c>
      <c r="AU652" t="inlineStr">
        <is>
          <t>2714165:eng</t>
        </is>
      </c>
      <c r="AV652" t="inlineStr">
        <is>
          <t>49394359</t>
        </is>
      </c>
      <c r="AW652" t="inlineStr">
        <is>
          <t>991004157009702656</t>
        </is>
      </c>
      <c r="AX652" t="inlineStr">
        <is>
          <t>991004157009702656</t>
        </is>
      </c>
      <c r="AY652" t="inlineStr">
        <is>
          <t>2256524080002656</t>
        </is>
      </c>
      <c r="AZ652" t="inlineStr">
        <is>
          <t>BOOK</t>
        </is>
      </c>
      <c r="BB652" t="inlineStr">
        <is>
          <t>9780739103531</t>
        </is>
      </c>
      <c r="BC652" t="inlineStr">
        <is>
          <t>32285004790423</t>
        </is>
      </c>
      <c r="BD652" t="inlineStr">
        <is>
          <t>893605694</t>
        </is>
      </c>
    </row>
    <row r="653">
      <c r="A653" t="inlineStr">
        <is>
          <t>No</t>
        </is>
      </c>
      <c r="B653" t="inlineStr">
        <is>
          <t>HV6433.M5 C534 2002</t>
        </is>
      </c>
      <c r="C653" t="inlineStr">
        <is>
          <t>0                      HV 6433000M  5                  C  534         2002</t>
        </is>
      </c>
      <c r="D653" t="inlineStr">
        <is>
          <t>Tapestry of terror : a portrait of Middle East terrorism, 1994-1999 / Richard J. Chasdi.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Chasdi, Richard J., 1958-</t>
        </is>
      </c>
      <c r="L653" t="inlineStr">
        <is>
          <t>Lanham, MD : Lexington Books, c2002.</t>
        </is>
      </c>
      <c r="M653" t="inlineStr">
        <is>
          <t>2002</t>
        </is>
      </c>
      <c r="O653" t="inlineStr">
        <is>
          <t>eng</t>
        </is>
      </c>
      <c r="P653" t="inlineStr">
        <is>
          <t>mdu</t>
        </is>
      </c>
      <c r="R653" t="inlineStr">
        <is>
          <t xml:space="preserve">HV </t>
        </is>
      </c>
      <c r="S653" t="n">
        <v>4</v>
      </c>
      <c r="T653" t="n">
        <v>4</v>
      </c>
      <c r="U653" t="inlineStr">
        <is>
          <t>2008-02-12</t>
        </is>
      </c>
      <c r="V653" t="inlineStr">
        <is>
          <t>2008-02-12</t>
        </is>
      </c>
      <c r="W653" t="inlineStr">
        <is>
          <t>2003-11-06</t>
        </is>
      </c>
      <c r="X653" t="inlineStr">
        <is>
          <t>2003-11-06</t>
        </is>
      </c>
      <c r="Y653" t="n">
        <v>408</v>
      </c>
      <c r="Z653" t="n">
        <v>345</v>
      </c>
      <c r="AA653" t="n">
        <v>351</v>
      </c>
      <c r="AB653" t="n">
        <v>3</v>
      </c>
      <c r="AC653" t="n">
        <v>3</v>
      </c>
      <c r="AD653" t="n">
        <v>16</v>
      </c>
      <c r="AE653" t="n">
        <v>16</v>
      </c>
      <c r="AF653" t="n">
        <v>5</v>
      </c>
      <c r="AG653" t="n">
        <v>5</v>
      </c>
      <c r="AH653" t="n">
        <v>5</v>
      </c>
      <c r="AI653" t="n">
        <v>5</v>
      </c>
      <c r="AJ653" t="n">
        <v>8</v>
      </c>
      <c r="AK653" t="n">
        <v>8</v>
      </c>
      <c r="AL653" t="n">
        <v>2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HYPERLINK("https://creighton-primo.hosted.exlibrisgroup.com/primo-explore/search?tab=default_tab&amp;search_scope=EVERYTHING&amp;vid=01CRU&amp;lang=en_US&amp;offset=0&amp;query=any,contains,991004159339702656","Catalog Record")</f>
        <v/>
      </c>
      <c r="AT653">
        <f>HYPERLINK("http://www.worldcat.org/oclc/49044380","WorldCat Record")</f>
        <v/>
      </c>
      <c r="AU653" t="inlineStr">
        <is>
          <t>367308811:eng</t>
        </is>
      </c>
      <c r="AV653" t="inlineStr">
        <is>
          <t>49044380</t>
        </is>
      </c>
      <c r="AW653" t="inlineStr">
        <is>
          <t>991004159339702656</t>
        </is>
      </c>
      <c r="AX653" t="inlineStr">
        <is>
          <t>991004159339702656</t>
        </is>
      </c>
      <c r="AY653" t="inlineStr">
        <is>
          <t>2265195050002656</t>
        </is>
      </c>
      <c r="AZ653" t="inlineStr">
        <is>
          <t>BOOK</t>
        </is>
      </c>
      <c r="BB653" t="inlineStr">
        <is>
          <t>9780739103548</t>
        </is>
      </c>
      <c r="BC653" t="inlineStr">
        <is>
          <t>32285004794789</t>
        </is>
      </c>
      <c r="BD653" t="inlineStr">
        <is>
          <t>893775700</t>
        </is>
      </c>
    </row>
    <row r="654">
      <c r="A654" t="inlineStr">
        <is>
          <t>No</t>
        </is>
      </c>
      <c r="B654" t="inlineStr">
        <is>
          <t>HV6433.M5 E57 2008</t>
        </is>
      </c>
      <c r="C654" t="inlineStr">
        <is>
          <t>0                      HV 6433000M  5                  E  57          2008</t>
        </is>
      </c>
      <c r="D654" t="inlineStr">
        <is>
          <t>Middle Eastern terrorism : from Black September to September 11 / Mark Ensalaco.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Ensalaco, Mark.</t>
        </is>
      </c>
      <c r="L654" t="inlineStr">
        <is>
          <t>Philadelphia, Pa. : University of Pennsylvania Press, c2008.</t>
        </is>
      </c>
      <c r="M654" t="inlineStr">
        <is>
          <t>2008</t>
        </is>
      </c>
      <c r="O654" t="inlineStr">
        <is>
          <t>eng</t>
        </is>
      </c>
      <c r="P654" t="inlineStr">
        <is>
          <t>pau</t>
        </is>
      </c>
      <c r="R654" t="inlineStr">
        <is>
          <t xml:space="preserve">HV </t>
        </is>
      </c>
      <c r="S654" t="n">
        <v>2</v>
      </c>
      <c r="T654" t="n">
        <v>2</v>
      </c>
      <c r="U654" t="inlineStr">
        <is>
          <t>2008-10-16</t>
        </is>
      </c>
      <c r="V654" t="inlineStr">
        <is>
          <t>2008-10-16</t>
        </is>
      </c>
      <c r="W654" t="inlineStr">
        <is>
          <t>2008-10-07</t>
        </is>
      </c>
      <c r="X654" t="inlineStr">
        <is>
          <t>2008-10-07</t>
        </is>
      </c>
      <c r="Y654" t="n">
        <v>716</v>
      </c>
      <c r="Z654" t="n">
        <v>636</v>
      </c>
      <c r="AA654" t="n">
        <v>1001</v>
      </c>
      <c r="AB654" t="n">
        <v>7</v>
      </c>
      <c r="AC654" t="n">
        <v>9</v>
      </c>
      <c r="AD654" t="n">
        <v>33</v>
      </c>
      <c r="AE654" t="n">
        <v>46</v>
      </c>
      <c r="AF654" t="n">
        <v>14</v>
      </c>
      <c r="AG654" t="n">
        <v>18</v>
      </c>
      <c r="AH654" t="n">
        <v>5</v>
      </c>
      <c r="AI654" t="n">
        <v>9</v>
      </c>
      <c r="AJ654" t="n">
        <v>14</v>
      </c>
      <c r="AK654" t="n">
        <v>19</v>
      </c>
      <c r="AL654" t="n">
        <v>6</v>
      </c>
      <c r="AM654" t="n">
        <v>8</v>
      </c>
      <c r="AN654" t="n">
        <v>1</v>
      </c>
      <c r="AO654" t="n">
        <v>2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HYPERLINK("https://creighton-primo.hosted.exlibrisgroup.com/primo-explore/search?tab=default_tab&amp;search_scope=EVERYTHING&amp;vid=01CRU&amp;lang=en_US&amp;offset=0&amp;query=any,contains,991005270329702656","Catalog Record")</f>
        <v/>
      </c>
      <c r="AT654">
        <f>HYPERLINK("http://www.worldcat.org/oclc/154800556","WorldCat Record")</f>
        <v/>
      </c>
      <c r="AU654" t="inlineStr">
        <is>
          <t>319945716:eng</t>
        </is>
      </c>
      <c r="AV654" t="inlineStr">
        <is>
          <t>154800556</t>
        </is>
      </c>
      <c r="AW654" t="inlineStr">
        <is>
          <t>991005270329702656</t>
        </is>
      </c>
      <c r="AX654" t="inlineStr">
        <is>
          <t>991005270329702656</t>
        </is>
      </c>
      <c r="AY654" t="inlineStr">
        <is>
          <t>2263723340002656</t>
        </is>
      </c>
      <c r="AZ654" t="inlineStr">
        <is>
          <t>BOOK</t>
        </is>
      </c>
      <c r="BB654" t="inlineStr">
        <is>
          <t>9780812240467</t>
        </is>
      </c>
      <c r="BC654" t="inlineStr">
        <is>
          <t>32285005461578</t>
        </is>
      </c>
      <c r="BD654" t="inlineStr">
        <is>
          <t>893520748</t>
        </is>
      </c>
    </row>
    <row r="655">
      <c r="A655" t="inlineStr">
        <is>
          <t>No</t>
        </is>
      </c>
      <c r="B655" t="inlineStr">
        <is>
          <t>HV6433.M52 Q35 2002</t>
        </is>
      </c>
      <c r="C655" t="inlineStr">
        <is>
          <t>0                      HV 6433000M  52                 Q  35          2002</t>
        </is>
      </c>
      <c r="D655" t="inlineStr">
        <is>
          <t>Al Qaeda : brotherhood of terror / Paul L. Williams.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Williams, Paul L., 1944-</t>
        </is>
      </c>
      <c r="L655" t="inlineStr">
        <is>
          <t>[Parsippany, NJ?] : Alpha, c2002.</t>
        </is>
      </c>
      <c r="M655" t="inlineStr">
        <is>
          <t>2002</t>
        </is>
      </c>
      <c r="O655" t="inlineStr">
        <is>
          <t>eng</t>
        </is>
      </c>
      <c r="P655" t="inlineStr">
        <is>
          <t>nju</t>
        </is>
      </c>
      <c r="R655" t="inlineStr">
        <is>
          <t xml:space="preserve">HV </t>
        </is>
      </c>
      <c r="S655" t="n">
        <v>7</v>
      </c>
      <c r="T655" t="n">
        <v>7</v>
      </c>
      <c r="U655" t="inlineStr">
        <is>
          <t>2006-09-13</t>
        </is>
      </c>
      <c r="V655" t="inlineStr">
        <is>
          <t>2006-09-13</t>
        </is>
      </c>
      <c r="W655" t="inlineStr">
        <is>
          <t>2003-06-18</t>
        </is>
      </c>
      <c r="X655" t="inlineStr">
        <is>
          <t>2003-06-18</t>
        </is>
      </c>
      <c r="Y655" t="n">
        <v>782</v>
      </c>
      <c r="Z655" t="n">
        <v>639</v>
      </c>
      <c r="AA655" t="n">
        <v>645</v>
      </c>
      <c r="AB655" t="n">
        <v>4</v>
      </c>
      <c r="AC655" t="n">
        <v>4</v>
      </c>
      <c r="AD655" t="n">
        <v>26</v>
      </c>
      <c r="AE655" t="n">
        <v>27</v>
      </c>
      <c r="AF655" t="n">
        <v>12</v>
      </c>
      <c r="AG655" t="n">
        <v>12</v>
      </c>
      <c r="AH655" t="n">
        <v>7</v>
      </c>
      <c r="AI655" t="n">
        <v>7</v>
      </c>
      <c r="AJ655" t="n">
        <v>11</v>
      </c>
      <c r="AK655" t="n">
        <v>12</v>
      </c>
      <c r="AL655" t="n">
        <v>2</v>
      </c>
      <c r="AM655" t="n">
        <v>2</v>
      </c>
      <c r="AN655" t="n">
        <v>1</v>
      </c>
      <c r="AO655" t="n">
        <v>1</v>
      </c>
      <c r="AP655" t="inlineStr">
        <is>
          <t>No</t>
        </is>
      </c>
      <c r="AQ655" t="inlineStr">
        <is>
          <t>No</t>
        </is>
      </c>
      <c r="AS655">
        <f>HYPERLINK("https://creighton-primo.hosted.exlibrisgroup.com/primo-explore/search?tab=default_tab&amp;search_scope=EVERYTHING&amp;vid=01CRU&amp;lang=en_US&amp;offset=0&amp;query=any,contains,991004074029702656","Catalog Record")</f>
        <v/>
      </c>
      <c r="AT655">
        <f>HYPERLINK("http://www.worldcat.org/oclc/49315209","WorldCat Record")</f>
        <v/>
      </c>
      <c r="AU655" t="inlineStr">
        <is>
          <t>230499562:eng</t>
        </is>
      </c>
      <c r="AV655" t="inlineStr">
        <is>
          <t>49315209</t>
        </is>
      </c>
      <c r="AW655" t="inlineStr">
        <is>
          <t>991004074029702656</t>
        </is>
      </c>
      <c r="AX655" t="inlineStr">
        <is>
          <t>991004074029702656</t>
        </is>
      </c>
      <c r="AY655" t="inlineStr">
        <is>
          <t>2266400570002656</t>
        </is>
      </c>
      <c r="AZ655" t="inlineStr">
        <is>
          <t>BOOK</t>
        </is>
      </c>
      <c r="BB655" t="inlineStr">
        <is>
          <t>9780028643526</t>
        </is>
      </c>
      <c r="BC655" t="inlineStr">
        <is>
          <t>32285004753678</t>
        </is>
      </c>
      <c r="BD655" t="inlineStr">
        <is>
          <t>893429619</t>
        </is>
      </c>
    </row>
    <row r="656">
      <c r="A656" t="inlineStr">
        <is>
          <t>No</t>
        </is>
      </c>
      <c r="B656" t="inlineStr">
        <is>
          <t>HV6433.R9 H34 2007</t>
        </is>
      </c>
      <c r="C656" t="inlineStr">
        <is>
          <t>0                      HV 6433000R  9                  H  34          2007</t>
        </is>
      </c>
      <c r="D656" t="inlineStr">
        <is>
          <t>Russia's Islamic threat / Gordon M. Hahn.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Hahn, Gordon M.</t>
        </is>
      </c>
      <c r="L656" t="inlineStr">
        <is>
          <t>New Haven : Yale University Press, c2007.</t>
        </is>
      </c>
      <c r="M656" t="inlineStr">
        <is>
          <t>2007</t>
        </is>
      </c>
      <c r="O656" t="inlineStr">
        <is>
          <t>eng</t>
        </is>
      </c>
      <c r="P656" t="inlineStr">
        <is>
          <t>ctu</t>
        </is>
      </c>
      <c r="R656" t="inlineStr">
        <is>
          <t xml:space="preserve">HV </t>
        </is>
      </c>
      <c r="S656" t="n">
        <v>5</v>
      </c>
      <c r="T656" t="n">
        <v>5</v>
      </c>
      <c r="U656" t="inlineStr">
        <is>
          <t>2010-06-01</t>
        </is>
      </c>
      <c r="V656" t="inlineStr">
        <is>
          <t>2010-06-01</t>
        </is>
      </c>
      <c r="W656" t="inlineStr">
        <is>
          <t>2008-02-21</t>
        </is>
      </c>
      <c r="X656" t="inlineStr">
        <is>
          <t>2008-02-21</t>
        </is>
      </c>
      <c r="Y656" t="n">
        <v>590</v>
      </c>
      <c r="Z656" t="n">
        <v>467</v>
      </c>
      <c r="AA656" t="n">
        <v>475</v>
      </c>
      <c r="AB656" t="n">
        <v>5</v>
      </c>
      <c r="AC656" t="n">
        <v>5</v>
      </c>
      <c r="AD656" t="n">
        <v>25</v>
      </c>
      <c r="AE656" t="n">
        <v>25</v>
      </c>
      <c r="AF656" t="n">
        <v>11</v>
      </c>
      <c r="AG656" t="n">
        <v>11</v>
      </c>
      <c r="AH656" t="n">
        <v>6</v>
      </c>
      <c r="AI656" t="n">
        <v>6</v>
      </c>
      <c r="AJ656" t="n">
        <v>10</v>
      </c>
      <c r="AK656" t="n">
        <v>10</v>
      </c>
      <c r="AL656" t="n">
        <v>4</v>
      </c>
      <c r="AM656" t="n">
        <v>4</v>
      </c>
      <c r="AN656" t="n">
        <v>1</v>
      </c>
      <c r="AO656" t="n">
        <v>1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HYPERLINK("https://creighton-primo.hosted.exlibrisgroup.com/primo-explore/search?tab=default_tab&amp;search_scope=EVERYTHING&amp;vid=01CRU&amp;lang=en_US&amp;offset=0&amp;query=any,contains,991005176069702656","Catalog Record")</f>
        <v/>
      </c>
      <c r="AT656">
        <f>HYPERLINK("http://www.worldcat.org/oclc/71368884","WorldCat Record")</f>
        <v/>
      </c>
      <c r="AU656" t="inlineStr">
        <is>
          <t>58308775:eng</t>
        </is>
      </c>
      <c r="AV656" t="inlineStr">
        <is>
          <t>71368884</t>
        </is>
      </c>
      <c r="AW656" t="inlineStr">
        <is>
          <t>991005176069702656</t>
        </is>
      </c>
      <c r="AX656" t="inlineStr">
        <is>
          <t>991005176069702656</t>
        </is>
      </c>
      <c r="AY656" t="inlineStr">
        <is>
          <t>2254724950002656</t>
        </is>
      </c>
      <c r="AZ656" t="inlineStr">
        <is>
          <t>BOOK</t>
        </is>
      </c>
      <c r="BB656" t="inlineStr">
        <is>
          <t>9780300120776</t>
        </is>
      </c>
      <c r="BC656" t="inlineStr">
        <is>
          <t>32285005393219</t>
        </is>
      </c>
      <c r="BD656" t="inlineStr">
        <is>
          <t>893701140</t>
        </is>
      </c>
    </row>
    <row r="657">
      <c r="A657" t="inlineStr">
        <is>
          <t>No</t>
        </is>
      </c>
      <c r="B657" t="inlineStr">
        <is>
          <t>HV6439.E8 E865 2005</t>
        </is>
      </c>
      <c r="C657" t="inlineStr">
        <is>
          <t>0                      HV 6439000E  8                  E  865         2005</t>
        </is>
      </c>
      <c r="D657" t="inlineStr">
        <is>
          <t>European street gangs and troublesome youth groups / edited by Scott H. Decker and Frank M. Weerman.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Lanham, Md. : AltaMira Press, c2005.</t>
        </is>
      </c>
      <c r="M657" t="inlineStr">
        <is>
          <t>2005</t>
        </is>
      </c>
      <c r="O657" t="inlineStr">
        <is>
          <t>eng</t>
        </is>
      </c>
      <c r="P657" t="inlineStr">
        <is>
          <t>mdu</t>
        </is>
      </c>
      <c r="Q657" t="inlineStr">
        <is>
          <t>Violence prevention and policy series</t>
        </is>
      </c>
      <c r="R657" t="inlineStr">
        <is>
          <t xml:space="preserve">HV </t>
        </is>
      </c>
      <c r="S657" t="n">
        <v>2</v>
      </c>
      <c r="T657" t="n">
        <v>2</v>
      </c>
      <c r="U657" t="inlineStr">
        <is>
          <t>2007-01-08</t>
        </is>
      </c>
      <c r="V657" t="inlineStr">
        <is>
          <t>2007-01-08</t>
        </is>
      </c>
      <c r="W657" t="inlineStr">
        <is>
          <t>2007-01-08</t>
        </is>
      </c>
      <c r="X657" t="inlineStr">
        <is>
          <t>2007-01-08</t>
        </is>
      </c>
      <c r="Y657" t="n">
        <v>278</v>
      </c>
      <c r="Z657" t="n">
        <v>204</v>
      </c>
      <c r="AA657" t="n">
        <v>220</v>
      </c>
      <c r="AB657" t="n">
        <v>1</v>
      </c>
      <c r="AC657" t="n">
        <v>1</v>
      </c>
      <c r="AD657" t="n">
        <v>12</v>
      </c>
      <c r="AE657" t="n">
        <v>12</v>
      </c>
      <c r="AF657" t="n">
        <v>5</v>
      </c>
      <c r="AG657" t="n">
        <v>5</v>
      </c>
      <c r="AH657" t="n">
        <v>4</v>
      </c>
      <c r="AI657" t="n">
        <v>4</v>
      </c>
      <c r="AJ657" t="n">
        <v>8</v>
      </c>
      <c r="AK657" t="n">
        <v>8</v>
      </c>
      <c r="AL657" t="n">
        <v>0</v>
      </c>
      <c r="AM657" t="n">
        <v>0</v>
      </c>
      <c r="AN657" t="n">
        <v>0</v>
      </c>
      <c r="AO657" t="n">
        <v>0</v>
      </c>
      <c r="AP657" t="inlineStr">
        <is>
          <t>No</t>
        </is>
      </c>
      <c r="AQ657" t="inlineStr">
        <is>
          <t>No</t>
        </is>
      </c>
      <c r="AS657">
        <f>HYPERLINK("https://creighton-primo.hosted.exlibrisgroup.com/primo-explore/search?tab=default_tab&amp;search_scope=EVERYTHING&amp;vid=01CRU&amp;lang=en_US&amp;offset=0&amp;query=any,contains,991004992009702656","Catalog Record")</f>
        <v/>
      </c>
      <c r="AT657">
        <f>HYPERLINK("http://www.worldcat.org/oclc/61500013","WorldCat Record")</f>
        <v/>
      </c>
      <c r="AU657" t="inlineStr">
        <is>
          <t>351568099:eng</t>
        </is>
      </c>
      <c r="AV657" t="inlineStr">
        <is>
          <t>61500013</t>
        </is>
      </c>
      <c r="AW657" t="inlineStr">
        <is>
          <t>991004992009702656</t>
        </is>
      </c>
      <c r="AX657" t="inlineStr">
        <is>
          <t>991004992009702656</t>
        </is>
      </c>
      <c r="AY657" t="inlineStr">
        <is>
          <t>2260035020002656</t>
        </is>
      </c>
      <c r="AZ657" t="inlineStr">
        <is>
          <t>BOOK</t>
        </is>
      </c>
      <c r="BB657" t="inlineStr">
        <is>
          <t>9780759107922</t>
        </is>
      </c>
      <c r="BC657" t="inlineStr">
        <is>
          <t>32285005268908</t>
        </is>
      </c>
      <c r="BD657" t="inlineStr">
        <is>
          <t>893344488</t>
        </is>
      </c>
    </row>
    <row r="658">
      <c r="A658" t="inlineStr">
        <is>
          <t>No</t>
        </is>
      </c>
      <c r="B658" t="inlineStr">
        <is>
          <t>HV6439.U5 C68 1992</t>
        </is>
      </c>
      <c r="C658" t="inlineStr">
        <is>
          <t>0                      HV 6439000U  5                  C  68          1992</t>
        </is>
      </c>
      <c r="D658" t="inlineStr">
        <is>
          <t>Juvenile gangs / by Herbert C. Covey, Scott Menard, Robert J. Franzese.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Covey, Herbert C.</t>
        </is>
      </c>
      <c r="L658" t="inlineStr">
        <is>
          <t>Springfield, Ill. : C.C. Thomas, c1992.</t>
        </is>
      </c>
      <c r="M658" t="inlineStr">
        <is>
          <t>1992</t>
        </is>
      </c>
      <c r="O658" t="inlineStr">
        <is>
          <t>eng</t>
        </is>
      </c>
      <c r="P658" t="inlineStr">
        <is>
          <t>ilu</t>
        </is>
      </c>
      <c r="R658" t="inlineStr">
        <is>
          <t xml:space="preserve">HV </t>
        </is>
      </c>
      <c r="S658" t="n">
        <v>39</v>
      </c>
      <c r="T658" t="n">
        <v>39</v>
      </c>
      <c r="U658" t="inlineStr">
        <is>
          <t>2007-10-31</t>
        </is>
      </c>
      <c r="V658" t="inlineStr">
        <is>
          <t>2007-10-31</t>
        </is>
      </c>
      <c r="W658" t="inlineStr">
        <is>
          <t>1993-03-16</t>
        </is>
      </c>
      <c r="X658" t="inlineStr">
        <is>
          <t>1993-03-16</t>
        </is>
      </c>
      <c r="Y658" t="n">
        <v>254</v>
      </c>
      <c r="Z658" t="n">
        <v>212</v>
      </c>
      <c r="AA658" t="n">
        <v>334</v>
      </c>
      <c r="AB658" t="n">
        <v>3</v>
      </c>
      <c r="AC658" t="n">
        <v>4</v>
      </c>
      <c r="AD658" t="n">
        <v>7</v>
      </c>
      <c r="AE658" t="n">
        <v>14</v>
      </c>
      <c r="AF658" t="n">
        <v>1</v>
      </c>
      <c r="AG658" t="n">
        <v>5</v>
      </c>
      <c r="AH658" t="n">
        <v>2</v>
      </c>
      <c r="AI658" t="n">
        <v>3</v>
      </c>
      <c r="AJ658" t="n">
        <v>3</v>
      </c>
      <c r="AK658" t="n">
        <v>5</v>
      </c>
      <c r="AL658" t="n">
        <v>2</v>
      </c>
      <c r="AM658" t="n">
        <v>3</v>
      </c>
      <c r="AN658" t="n">
        <v>0</v>
      </c>
      <c r="AO658" t="n">
        <v>1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HYPERLINK("https://creighton-primo.hosted.exlibrisgroup.com/primo-explore/search?tab=default_tab&amp;search_scope=EVERYTHING&amp;vid=01CRU&amp;lang=en_US&amp;offset=0&amp;query=any,contains,991001999439702656","Catalog Record")</f>
        <v/>
      </c>
      <c r="AT658">
        <f>HYPERLINK("http://www.worldcat.org/oclc/25410277","WorldCat Record")</f>
        <v/>
      </c>
      <c r="AU658" t="inlineStr">
        <is>
          <t>20663082:eng</t>
        </is>
      </c>
      <c r="AV658" t="inlineStr">
        <is>
          <t>25410277</t>
        </is>
      </c>
      <c r="AW658" t="inlineStr">
        <is>
          <t>991001999439702656</t>
        </is>
      </c>
      <c r="AX658" t="inlineStr">
        <is>
          <t>991001999439702656</t>
        </is>
      </c>
      <c r="AY658" t="inlineStr">
        <is>
          <t>2254940280002656</t>
        </is>
      </c>
      <c r="AZ658" t="inlineStr">
        <is>
          <t>BOOK</t>
        </is>
      </c>
      <c r="BB658" t="inlineStr">
        <is>
          <t>9780398057985</t>
        </is>
      </c>
      <c r="BC658" t="inlineStr">
        <is>
          <t>32285001497576</t>
        </is>
      </c>
      <c r="BD658" t="inlineStr">
        <is>
          <t>893346987</t>
        </is>
      </c>
    </row>
    <row r="659">
      <c r="A659" t="inlineStr">
        <is>
          <t>No</t>
        </is>
      </c>
      <c r="B659" t="inlineStr">
        <is>
          <t>HV6439.U5 H47 1998</t>
        </is>
      </c>
      <c r="C659" t="inlineStr">
        <is>
          <t>0                      HV 6439000U  5                  H  47          1998</t>
        </is>
      </c>
      <c r="D659" t="inlineStr">
        <is>
          <t>Peace in the streets : breaking the cycle of gang violence / Arturo Hernandez.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Hernandez, Arturo, 1959-</t>
        </is>
      </c>
      <c r="L659" t="inlineStr">
        <is>
          <t>Washington, DC : Child Welfare League of America, c1998.</t>
        </is>
      </c>
      <c r="M659" t="inlineStr">
        <is>
          <t>1998</t>
        </is>
      </c>
      <c r="O659" t="inlineStr">
        <is>
          <t>eng</t>
        </is>
      </c>
      <c r="P659" t="inlineStr">
        <is>
          <t>dcu</t>
        </is>
      </c>
      <c r="R659" t="inlineStr">
        <is>
          <t xml:space="preserve">HV </t>
        </is>
      </c>
      <c r="S659" t="n">
        <v>13</v>
      </c>
      <c r="T659" t="n">
        <v>13</v>
      </c>
      <c r="U659" t="inlineStr">
        <is>
          <t>2009-04-27</t>
        </is>
      </c>
      <c r="V659" t="inlineStr">
        <is>
          <t>2009-04-27</t>
        </is>
      </c>
      <c r="W659" t="inlineStr">
        <is>
          <t>1998-07-15</t>
        </is>
      </c>
      <c r="X659" t="inlineStr">
        <is>
          <t>1998-07-15</t>
        </is>
      </c>
      <c r="Y659" t="n">
        <v>628</v>
      </c>
      <c r="Z659" t="n">
        <v>603</v>
      </c>
      <c r="AA659" t="n">
        <v>613</v>
      </c>
      <c r="AB659" t="n">
        <v>4</v>
      </c>
      <c r="AC659" t="n">
        <v>4</v>
      </c>
      <c r="AD659" t="n">
        <v>15</v>
      </c>
      <c r="AE659" t="n">
        <v>15</v>
      </c>
      <c r="AF659" t="n">
        <v>3</v>
      </c>
      <c r="AG659" t="n">
        <v>3</v>
      </c>
      <c r="AH659" t="n">
        <v>4</v>
      </c>
      <c r="AI659" t="n">
        <v>4</v>
      </c>
      <c r="AJ659" t="n">
        <v>9</v>
      </c>
      <c r="AK659" t="n">
        <v>9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HYPERLINK("http://catalog.hathitrust.org/Record/003952367","HathiTrust Record")</f>
        <v/>
      </c>
      <c r="AS659">
        <f>HYPERLINK("https://creighton-primo.hosted.exlibrisgroup.com/primo-explore/search?tab=default_tab&amp;search_scope=EVERYTHING&amp;vid=01CRU&amp;lang=en_US&amp;offset=0&amp;query=any,contains,991002881649702656","Catalog Record")</f>
        <v/>
      </c>
      <c r="AT659">
        <f>HYPERLINK("http://www.worldcat.org/oclc/37976378","WorldCat Record")</f>
        <v/>
      </c>
      <c r="AU659" t="inlineStr">
        <is>
          <t>474848220:eng</t>
        </is>
      </c>
      <c r="AV659" t="inlineStr">
        <is>
          <t>37976378</t>
        </is>
      </c>
      <c r="AW659" t="inlineStr">
        <is>
          <t>991002881649702656</t>
        </is>
      </c>
      <c r="AX659" t="inlineStr">
        <is>
          <t>991002881649702656</t>
        </is>
      </c>
      <c r="AY659" t="inlineStr">
        <is>
          <t>2261611480002656</t>
        </is>
      </c>
      <c r="AZ659" t="inlineStr">
        <is>
          <t>BOOK</t>
        </is>
      </c>
      <c r="BB659" t="inlineStr">
        <is>
          <t>9780878686926</t>
        </is>
      </c>
      <c r="BC659" t="inlineStr">
        <is>
          <t>32285003432076</t>
        </is>
      </c>
      <c r="BD659" t="inlineStr">
        <is>
          <t>893239625</t>
        </is>
      </c>
    </row>
    <row r="660">
      <c r="A660" t="inlineStr">
        <is>
          <t>No</t>
        </is>
      </c>
      <c r="B660" t="inlineStr">
        <is>
          <t>HV6439.U5 K58 1995</t>
        </is>
      </c>
      <c r="C660" t="inlineStr">
        <is>
          <t>0                      HV 6439000U  5                  K  58          1995</t>
        </is>
      </c>
      <c r="D660" t="inlineStr">
        <is>
          <t>The American street gang : its nature, prevalence, and control / Malcolm W. Klein.</t>
        </is>
      </c>
      <c r="F660" t="inlineStr">
        <is>
          <t>No</t>
        </is>
      </c>
      <c r="G660" t="inlineStr">
        <is>
          <t>1</t>
        </is>
      </c>
      <c r="H660" t="inlineStr">
        <is>
          <t>Yes</t>
        </is>
      </c>
      <c r="I660" t="inlineStr">
        <is>
          <t>No</t>
        </is>
      </c>
      <c r="J660" t="inlineStr">
        <is>
          <t>0</t>
        </is>
      </c>
      <c r="K660" t="inlineStr">
        <is>
          <t>Klein, Malcolm W.</t>
        </is>
      </c>
      <c r="L660" t="inlineStr">
        <is>
          <t>New York : Oxford University Press, 1995.</t>
        </is>
      </c>
      <c r="M660" t="inlineStr">
        <is>
          <t>1995</t>
        </is>
      </c>
      <c r="O660" t="inlineStr">
        <is>
          <t>eng</t>
        </is>
      </c>
      <c r="P660" t="inlineStr">
        <is>
          <t>nyu</t>
        </is>
      </c>
      <c r="Q660" t="inlineStr">
        <is>
          <t>Studies in crime and public policy</t>
        </is>
      </c>
      <c r="R660" t="inlineStr">
        <is>
          <t xml:space="preserve">HV </t>
        </is>
      </c>
      <c r="S660" t="n">
        <v>24</v>
      </c>
      <c r="T660" t="n">
        <v>26</v>
      </c>
      <c r="U660" t="inlineStr">
        <is>
          <t>2009-11-28</t>
        </is>
      </c>
      <c r="V660" t="inlineStr">
        <is>
          <t>2009-11-28</t>
        </is>
      </c>
      <c r="W660" t="inlineStr">
        <is>
          <t>1996-01-16</t>
        </is>
      </c>
      <c r="X660" t="inlineStr">
        <is>
          <t>2000-03-16</t>
        </is>
      </c>
      <c r="Y660" t="n">
        <v>1068</v>
      </c>
      <c r="Z660" t="n">
        <v>963</v>
      </c>
      <c r="AA660" t="n">
        <v>1054</v>
      </c>
      <c r="AB660" t="n">
        <v>8</v>
      </c>
      <c r="AC660" t="n">
        <v>9</v>
      </c>
      <c r="AD660" t="n">
        <v>46</v>
      </c>
      <c r="AE660" t="n">
        <v>49</v>
      </c>
      <c r="AF660" t="n">
        <v>15</v>
      </c>
      <c r="AG660" t="n">
        <v>17</v>
      </c>
      <c r="AH660" t="n">
        <v>9</v>
      </c>
      <c r="AI660" t="n">
        <v>10</v>
      </c>
      <c r="AJ660" t="n">
        <v>19</v>
      </c>
      <c r="AK660" t="n">
        <v>19</v>
      </c>
      <c r="AL660" t="n">
        <v>6</v>
      </c>
      <c r="AM660" t="n">
        <v>7</v>
      </c>
      <c r="AN660" t="n">
        <v>7</v>
      </c>
      <c r="AO660" t="n">
        <v>7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HYPERLINK("http://catalog.hathitrust.org/Record/003003787","HathiTrust Record")</f>
        <v/>
      </c>
      <c r="AS660">
        <f>HYPERLINK("https://creighton-primo.hosted.exlibrisgroup.com/primo-explore/search?tab=default_tab&amp;search_scope=EVERYTHING&amp;vid=01CRU&amp;lang=en_US&amp;offset=0&amp;query=any,contains,991001663699702656","Catalog Record")</f>
        <v/>
      </c>
      <c r="AT660">
        <f>HYPERLINK("http://www.worldcat.org/oclc/30972498","WorldCat Record")</f>
        <v/>
      </c>
      <c r="AU660" t="inlineStr">
        <is>
          <t>836929472:eng</t>
        </is>
      </c>
      <c r="AV660" t="inlineStr">
        <is>
          <t>30972498</t>
        </is>
      </c>
      <c r="AW660" t="inlineStr">
        <is>
          <t>991001663699702656</t>
        </is>
      </c>
      <c r="AX660" t="inlineStr">
        <is>
          <t>991001663699702656</t>
        </is>
      </c>
      <c r="AY660" t="inlineStr">
        <is>
          <t>2263355840002656</t>
        </is>
      </c>
      <c r="AZ660" t="inlineStr">
        <is>
          <t>BOOK</t>
        </is>
      </c>
      <c r="BB660" t="inlineStr">
        <is>
          <t>9780195095340</t>
        </is>
      </c>
      <c r="BC660" t="inlineStr">
        <is>
          <t>32285002116936</t>
        </is>
      </c>
      <c r="BD660" t="inlineStr">
        <is>
          <t>893879057</t>
        </is>
      </c>
    </row>
    <row r="661">
      <c r="A661" t="inlineStr">
        <is>
          <t>No</t>
        </is>
      </c>
      <c r="B661" t="inlineStr">
        <is>
          <t>HV6439.U5 K66 1994</t>
        </is>
      </c>
      <c r="C661" t="inlineStr">
        <is>
          <t>0                      HV 6439000U  5                  K  66          1994</t>
        </is>
      </c>
      <c r="D661" t="inlineStr">
        <is>
          <t>An introduction to gangs / George W. Knox ; foreword by Malcolm W. Klein.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Knox, George W., 1950-</t>
        </is>
      </c>
      <c r="L661" t="inlineStr">
        <is>
          <t>Bristol, IN : Wyndham Hall Press, c1994.</t>
        </is>
      </c>
      <c r="M661" t="inlineStr">
        <is>
          <t>1994</t>
        </is>
      </c>
      <c r="N661" t="inlineStr">
        <is>
          <t>New rev. ed.</t>
        </is>
      </c>
      <c r="O661" t="inlineStr">
        <is>
          <t>eng</t>
        </is>
      </c>
      <c r="P661" t="inlineStr">
        <is>
          <t>inu</t>
        </is>
      </c>
      <c r="R661" t="inlineStr">
        <is>
          <t xml:space="preserve">HV </t>
        </is>
      </c>
      <c r="S661" t="n">
        <v>32</v>
      </c>
      <c r="T661" t="n">
        <v>32</v>
      </c>
      <c r="U661" t="inlineStr">
        <is>
          <t>2003-10-01</t>
        </is>
      </c>
      <c r="V661" t="inlineStr">
        <is>
          <t>2003-10-01</t>
        </is>
      </c>
      <c r="W661" t="inlineStr">
        <is>
          <t>1995-10-27</t>
        </is>
      </c>
      <c r="X661" t="inlineStr">
        <is>
          <t>1995-10-27</t>
        </is>
      </c>
      <c r="Y661" t="n">
        <v>382</v>
      </c>
      <c r="Z661" t="n">
        <v>358</v>
      </c>
      <c r="AA661" t="n">
        <v>627</v>
      </c>
      <c r="AB661" t="n">
        <v>3</v>
      </c>
      <c r="AC661" t="n">
        <v>6</v>
      </c>
      <c r="AD661" t="n">
        <v>10</v>
      </c>
      <c r="AE661" t="n">
        <v>24</v>
      </c>
      <c r="AF661" t="n">
        <v>3</v>
      </c>
      <c r="AG661" t="n">
        <v>9</v>
      </c>
      <c r="AH661" t="n">
        <v>0</v>
      </c>
      <c r="AI661" t="n">
        <v>4</v>
      </c>
      <c r="AJ661" t="n">
        <v>4</v>
      </c>
      <c r="AK661" t="n">
        <v>8</v>
      </c>
      <c r="AL661" t="n">
        <v>2</v>
      </c>
      <c r="AM661" t="n">
        <v>5</v>
      </c>
      <c r="AN661" t="n">
        <v>2</v>
      </c>
      <c r="AO661" t="n">
        <v>2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HYPERLINK("https://creighton-primo.hosted.exlibrisgroup.com/primo-explore/search?tab=default_tab&amp;search_scope=EVERYTHING&amp;vid=01CRU&amp;lang=en_US&amp;offset=0&amp;query=any,contains,991002461549702656","Catalog Record")</f>
        <v/>
      </c>
      <c r="AT661">
        <f>HYPERLINK("http://www.worldcat.org/oclc/32083445","WorldCat Record")</f>
        <v/>
      </c>
      <c r="AU661" t="inlineStr">
        <is>
          <t>27305363:eng</t>
        </is>
      </c>
      <c r="AV661" t="inlineStr">
        <is>
          <t>32083445</t>
        </is>
      </c>
      <c r="AW661" t="inlineStr">
        <is>
          <t>991002461549702656</t>
        </is>
      </c>
      <c r="AX661" t="inlineStr">
        <is>
          <t>991002461549702656</t>
        </is>
      </c>
      <c r="AY661" t="inlineStr">
        <is>
          <t>2269477090002656</t>
        </is>
      </c>
      <c r="AZ661" t="inlineStr">
        <is>
          <t>BOOK</t>
        </is>
      </c>
      <c r="BB661" t="inlineStr">
        <is>
          <t>9781556052484</t>
        </is>
      </c>
      <c r="BC661" t="inlineStr">
        <is>
          <t>32285002097847</t>
        </is>
      </c>
      <c r="BD661" t="inlineStr">
        <is>
          <t>893322970</t>
        </is>
      </c>
    </row>
    <row r="662">
      <c r="A662" t="inlineStr">
        <is>
          <t>No</t>
        </is>
      </c>
      <c r="B662" t="inlineStr">
        <is>
          <t>HV6439.U5 M66 1991</t>
        </is>
      </c>
      <c r="C662" t="inlineStr">
        <is>
          <t>0                      HV 6439000U  5                  M  66          1991</t>
        </is>
      </c>
      <c r="D662" t="inlineStr">
        <is>
          <t>Going down to the barrio : homeboys and homegirls in change / Joan W. Moore.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Moore, Joan W.</t>
        </is>
      </c>
      <c r="L662" t="inlineStr">
        <is>
          <t>Philadelphia : Temple University Press, 1991.</t>
        </is>
      </c>
      <c r="M662" t="inlineStr">
        <is>
          <t>1991</t>
        </is>
      </c>
      <c r="O662" t="inlineStr">
        <is>
          <t>eng</t>
        </is>
      </c>
      <c r="P662" t="inlineStr">
        <is>
          <t>pau</t>
        </is>
      </c>
      <c r="R662" t="inlineStr">
        <is>
          <t xml:space="preserve">HV </t>
        </is>
      </c>
      <c r="S662" t="n">
        <v>30</v>
      </c>
      <c r="T662" t="n">
        <v>30</v>
      </c>
      <c r="U662" t="inlineStr">
        <is>
          <t>2007-11-15</t>
        </is>
      </c>
      <c r="V662" t="inlineStr">
        <is>
          <t>2007-11-15</t>
        </is>
      </c>
      <c r="W662" t="inlineStr">
        <is>
          <t>1992-01-28</t>
        </is>
      </c>
      <c r="X662" t="inlineStr">
        <is>
          <t>1992-01-28</t>
        </is>
      </c>
      <c r="Y662" t="n">
        <v>626</v>
      </c>
      <c r="Z662" t="n">
        <v>582</v>
      </c>
      <c r="AA662" t="n">
        <v>776</v>
      </c>
      <c r="AB662" t="n">
        <v>3</v>
      </c>
      <c r="AC662" t="n">
        <v>4</v>
      </c>
      <c r="AD662" t="n">
        <v>26</v>
      </c>
      <c r="AE662" t="n">
        <v>34</v>
      </c>
      <c r="AF662" t="n">
        <v>13</v>
      </c>
      <c r="AG662" t="n">
        <v>18</v>
      </c>
      <c r="AH662" t="n">
        <v>6</v>
      </c>
      <c r="AI662" t="n">
        <v>8</v>
      </c>
      <c r="AJ662" t="n">
        <v>14</v>
      </c>
      <c r="AK662" t="n">
        <v>15</v>
      </c>
      <c r="AL662" t="n">
        <v>2</v>
      </c>
      <c r="AM662" t="n">
        <v>3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HYPERLINK("https://creighton-primo.hosted.exlibrisgroup.com/primo-explore/search?tab=default_tab&amp;search_scope=EVERYTHING&amp;vid=01CRU&amp;lang=en_US&amp;offset=0&amp;query=any,contains,991001847229702656","Catalog Record")</f>
        <v/>
      </c>
      <c r="AT662">
        <f>HYPERLINK("http://www.worldcat.org/oclc/23180002","WorldCat Record")</f>
        <v/>
      </c>
      <c r="AU662" t="inlineStr">
        <is>
          <t>476115094:eng</t>
        </is>
      </c>
      <c r="AV662" t="inlineStr">
        <is>
          <t>23180002</t>
        </is>
      </c>
      <c r="AW662" t="inlineStr">
        <is>
          <t>991001847229702656</t>
        </is>
      </c>
      <c r="AX662" t="inlineStr">
        <is>
          <t>991001847229702656</t>
        </is>
      </c>
      <c r="AY662" t="inlineStr">
        <is>
          <t>2263530090002656</t>
        </is>
      </c>
      <c r="AZ662" t="inlineStr">
        <is>
          <t>BOOK</t>
        </is>
      </c>
      <c r="BB662" t="inlineStr">
        <is>
          <t>9780877228554</t>
        </is>
      </c>
      <c r="BC662" t="inlineStr">
        <is>
          <t>32285000867126</t>
        </is>
      </c>
      <c r="BD662" t="inlineStr">
        <is>
          <t>893590686</t>
        </is>
      </c>
    </row>
    <row r="663">
      <c r="A663" t="inlineStr">
        <is>
          <t>No</t>
        </is>
      </c>
      <c r="B663" t="inlineStr">
        <is>
          <t>HV6439.U5 W5 1973</t>
        </is>
      </c>
      <c r="C663" t="inlineStr">
        <is>
          <t>0                      HV 6439000U  5                  W  5           1973</t>
        </is>
      </c>
      <c r="D663" t="inlineStr">
        <is>
          <t>Street corner society : the social structure of an Italian slum / William Foote Whyte.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Whyte, William Foote, 1914-2000.</t>
        </is>
      </c>
      <c r="L663" t="inlineStr">
        <is>
          <t>Chicago : The University of Chicago Press, 1973.</t>
        </is>
      </c>
      <c r="M663" t="inlineStr">
        <is>
          <t>1973</t>
        </is>
      </c>
      <c r="O663" t="inlineStr">
        <is>
          <t>eng</t>
        </is>
      </c>
      <c r="P663" t="inlineStr">
        <is>
          <t>ilu</t>
        </is>
      </c>
      <c r="R663" t="inlineStr">
        <is>
          <t xml:space="preserve">HV </t>
        </is>
      </c>
      <c r="S663" t="n">
        <v>2</v>
      </c>
      <c r="T663" t="n">
        <v>2</v>
      </c>
      <c r="U663" t="inlineStr">
        <is>
          <t>2008-09-21</t>
        </is>
      </c>
      <c r="V663" t="inlineStr">
        <is>
          <t>2008-09-21</t>
        </is>
      </c>
      <c r="W663" t="inlineStr">
        <is>
          <t>2000-08-24</t>
        </is>
      </c>
      <c r="X663" t="inlineStr">
        <is>
          <t>2000-08-24</t>
        </is>
      </c>
      <c r="Y663" t="n">
        <v>40</v>
      </c>
      <c r="Z663" t="n">
        <v>31</v>
      </c>
      <c r="AA663" t="n">
        <v>1587</v>
      </c>
      <c r="AB663" t="n">
        <v>1</v>
      </c>
      <c r="AC663" t="n">
        <v>12</v>
      </c>
      <c r="AD663" t="n">
        <v>1</v>
      </c>
      <c r="AE663" t="n">
        <v>65</v>
      </c>
      <c r="AF663" t="n">
        <v>0</v>
      </c>
      <c r="AG663" t="n">
        <v>28</v>
      </c>
      <c r="AH663" t="n">
        <v>0</v>
      </c>
      <c r="AI663" t="n">
        <v>10</v>
      </c>
      <c r="AJ663" t="n">
        <v>0</v>
      </c>
      <c r="AK663" t="n">
        <v>24</v>
      </c>
      <c r="AL663" t="n">
        <v>0</v>
      </c>
      <c r="AM663" t="n">
        <v>11</v>
      </c>
      <c r="AN663" t="n">
        <v>1</v>
      </c>
      <c r="AO663" t="n">
        <v>5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HYPERLINK("https://creighton-primo.hosted.exlibrisgroup.com/primo-explore/search?tab=default_tab&amp;search_scope=EVERYTHING&amp;vid=01CRU&amp;lang=en_US&amp;offset=0&amp;query=any,contains,991003272869702656","Catalog Record")</f>
        <v/>
      </c>
      <c r="AT663">
        <f>HYPERLINK("http://www.worldcat.org/oclc/2778850","WorldCat Record")</f>
        <v/>
      </c>
      <c r="AU663" t="inlineStr">
        <is>
          <t>206817776:eng</t>
        </is>
      </c>
      <c r="AV663" t="inlineStr">
        <is>
          <t>2778850</t>
        </is>
      </c>
      <c r="AW663" t="inlineStr">
        <is>
          <t>991003272869702656</t>
        </is>
      </c>
      <c r="AX663" t="inlineStr">
        <is>
          <t>991003272869702656</t>
        </is>
      </c>
      <c r="AY663" t="inlineStr">
        <is>
          <t>2256010140002656</t>
        </is>
      </c>
      <c r="AZ663" t="inlineStr">
        <is>
          <t>BOOK</t>
        </is>
      </c>
      <c r="BC663" t="inlineStr">
        <is>
          <t>32285003770186</t>
        </is>
      </c>
      <c r="BD663" t="inlineStr">
        <is>
          <t>893780791</t>
        </is>
      </c>
    </row>
    <row r="664">
      <c r="A664" t="inlineStr">
        <is>
          <t>No</t>
        </is>
      </c>
      <c r="B664" t="inlineStr">
        <is>
          <t>HV6439.U7 C26 1994</t>
        </is>
      </c>
      <c r="C664" t="inlineStr">
        <is>
          <t>0                      HV 6439000U  7                  C  26          1994</t>
        </is>
      </c>
      <c r="D664" t="inlineStr">
        <is>
          <t>Gangbangs and drive-bys : grounded culture and juvenile gang violence / William B. Sanders.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Sanders, William B., 1944-</t>
        </is>
      </c>
      <c r="L664" t="inlineStr">
        <is>
          <t>New York : Aldine de Gruyter, c1994.</t>
        </is>
      </c>
      <c r="M664" t="inlineStr">
        <is>
          <t>1994</t>
        </is>
      </c>
      <c r="O664" t="inlineStr">
        <is>
          <t>eng</t>
        </is>
      </c>
      <c r="P664" t="inlineStr">
        <is>
          <t>nyu</t>
        </is>
      </c>
      <c r="Q664" t="inlineStr">
        <is>
          <t>Social problems and social issues</t>
        </is>
      </c>
      <c r="R664" t="inlineStr">
        <is>
          <t xml:space="preserve">HV </t>
        </is>
      </c>
      <c r="S664" t="n">
        <v>27</v>
      </c>
      <c r="T664" t="n">
        <v>27</v>
      </c>
      <c r="U664" t="inlineStr">
        <is>
          <t>2010-09-29</t>
        </is>
      </c>
      <c r="V664" t="inlineStr">
        <is>
          <t>2010-09-29</t>
        </is>
      </c>
      <c r="W664" t="inlineStr">
        <is>
          <t>1994-12-15</t>
        </is>
      </c>
      <c r="X664" t="inlineStr">
        <is>
          <t>1994-12-15</t>
        </is>
      </c>
      <c r="Y664" t="n">
        <v>891</v>
      </c>
      <c r="Z664" t="n">
        <v>798</v>
      </c>
      <c r="AA664" t="n">
        <v>816</v>
      </c>
      <c r="AB664" t="n">
        <v>7</v>
      </c>
      <c r="AC664" t="n">
        <v>7</v>
      </c>
      <c r="AD664" t="n">
        <v>39</v>
      </c>
      <c r="AE664" t="n">
        <v>39</v>
      </c>
      <c r="AF664" t="n">
        <v>17</v>
      </c>
      <c r="AG664" t="n">
        <v>17</v>
      </c>
      <c r="AH664" t="n">
        <v>8</v>
      </c>
      <c r="AI664" t="n">
        <v>8</v>
      </c>
      <c r="AJ664" t="n">
        <v>18</v>
      </c>
      <c r="AK664" t="n">
        <v>18</v>
      </c>
      <c r="AL664" t="n">
        <v>5</v>
      </c>
      <c r="AM664" t="n">
        <v>5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HYPERLINK("https://creighton-primo.hosted.exlibrisgroup.com/primo-explore/search?tab=default_tab&amp;search_scope=EVERYTHING&amp;vid=01CRU&amp;lang=en_US&amp;offset=0&amp;query=any,contains,991002285939702656","Catalog Record")</f>
        <v/>
      </c>
      <c r="AT664">
        <f>HYPERLINK("http://www.worldcat.org/oclc/29636589","WorldCat Record")</f>
        <v/>
      </c>
      <c r="AU664" t="inlineStr">
        <is>
          <t>138940371:eng</t>
        </is>
      </c>
      <c r="AV664" t="inlineStr">
        <is>
          <t>29636589</t>
        </is>
      </c>
      <c r="AW664" t="inlineStr">
        <is>
          <t>991002285939702656</t>
        </is>
      </c>
      <c r="AX664" t="inlineStr">
        <is>
          <t>991002285939702656</t>
        </is>
      </c>
      <c r="AY664" t="inlineStr">
        <is>
          <t>2255206010002656</t>
        </is>
      </c>
      <c r="AZ664" t="inlineStr">
        <is>
          <t>BOOK</t>
        </is>
      </c>
      <c r="BB664" t="inlineStr">
        <is>
          <t>9780202305363</t>
        </is>
      </c>
      <c r="BC664" t="inlineStr">
        <is>
          <t>32285001977569</t>
        </is>
      </c>
      <c r="BD664" t="inlineStr">
        <is>
          <t>893510543</t>
        </is>
      </c>
    </row>
    <row r="665">
      <c r="A665" t="inlineStr">
        <is>
          <t>No</t>
        </is>
      </c>
      <c r="B665" t="inlineStr">
        <is>
          <t>HV6439.U7 D68 1993</t>
        </is>
      </c>
      <c r="C665" t="inlineStr">
        <is>
          <t>0                      HV 6439000U  7                  D  68          1993</t>
        </is>
      </c>
      <c r="D665" t="inlineStr">
        <is>
          <t>Girls, gangs, women, and drugs / Carl S. Taylor.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Taylor, Carl S.</t>
        </is>
      </c>
      <c r="L665" t="inlineStr">
        <is>
          <t>East Lansing, Mich. : Michigan State University Press, 1993.</t>
        </is>
      </c>
      <c r="M665" t="inlineStr">
        <is>
          <t>1993</t>
        </is>
      </c>
      <c r="O665" t="inlineStr">
        <is>
          <t>eng</t>
        </is>
      </c>
      <c r="P665" t="inlineStr">
        <is>
          <t>miu</t>
        </is>
      </c>
      <c r="R665" t="inlineStr">
        <is>
          <t xml:space="preserve">HV </t>
        </is>
      </c>
      <c r="S665" t="n">
        <v>28</v>
      </c>
      <c r="T665" t="n">
        <v>28</v>
      </c>
      <c r="U665" t="inlineStr">
        <is>
          <t>2009-04-26</t>
        </is>
      </c>
      <c r="V665" t="inlineStr">
        <is>
          <t>2009-04-26</t>
        </is>
      </c>
      <c r="W665" t="inlineStr">
        <is>
          <t>1993-10-08</t>
        </is>
      </c>
      <c r="X665" t="inlineStr">
        <is>
          <t>1993-10-08</t>
        </is>
      </c>
      <c r="Y665" t="n">
        <v>477</v>
      </c>
      <c r="Z665" t="n">
        <v>429</v>
      </c>
      <c r="AA665" t="n">
        <v>785</v>
      </c>
      <c r="AB665" t="n">
        <v>3</v>
      </c>
      <c r="AC665" t="n">
        <v>4</v>
      </c>
      <c r="AD665" t="n">
        <v>22</v>
      </c>
      <c r="AE665" t="n">
        <v>29</v>
      </c>
      <c r="AF665" t="n">
        <v>6</v>
      </c>
      <c r="AG665" t="n">
        <v>10</v>
      </c>
      <c r="AH665" t="n">
        <v>6</v>
      </c>
      <c r="AI665" t="n">
        <v>6</v>
      </c>
      <c r="AJ665" t="n">
        <v>14</v>
      </c>
      <c r="AK665" t="n">
        <v>17</v>
      </c>
      <c r="AL665" t="n">
        <v>2</v>
      </c>
      <c r="AM665" t="n">
        <v>3</v>
      </c>
      <c r="AN665" t="n">
        <v>0</v>
      </c>
      <c r="AO665" t="n">
        <v>0</v>
      </c>
      <c r="AP665" t="inlineStr">
        <is>
          <t>No</t>
        </is>
      </c>
      <c r="AQ665" t="inlineStr">
        <is>
          <t>Yes</t>
        </is>
      </c>
      <c r="AR665">
        <f>HYPERLINK("http://catalog.hathitrust.org/Record/002734529","HathiTrust Record")</f>
        <v/>
      </c>
      <c r="AS665">
        <f>HYPERLINK("https://creighton-primo.hosted.exlibrisgroup.com/primo-explore/search?tab=default_tab&amp;search_scope=EVERYTHING&amp;vid=01CRU&amp;lang=en_US&amp;offset=0&amp;query=any,contains,991002199619702656","Catalog Record")</f>
        <v/>
      </c>
      <c r="AT665">
        <f>HYPERLINK("http://www.worldcat.org/oclc/28292691","WorldCat Record")</f>
        <v/>
      </c>
      <c r="AU665" t="inlineStr">
        <is>
          <t>30955358:eng</t>
        </is>
      </c>
      <c r="AV665" t="inlineStr">
        <is>
          <t>28292691</t>
        </is>
      </c>
      <c r="AW665" t="inlineStr">
        <is>
          <t>991002199619702656</t>
        </is>
      </c>
      <c r="AX665" t="inlineStr">
        <is>
          <t>991002199619702656</t>
        </is>
      </c>
      <c r="AY665" t="inlineStr">
        <is>
          <t>2257290490002656</t>
        </is>
      </c>
      <c r="AZ665" t="inlineStr">
        <is>
          <t>BOOK</t>
        </is>
      </c>
      <c r="BB665" t="inlineStr">
        <is>
          <t>9780870133206</t>
        </is>
      </c>
      <c r="BC665" t="inlineStr">
        <is>
          <t>32285001785103</t>
        </is>
      </c>
      <c r="BD665" t="inlineStr">
        <is>
          <t>893341150</t>
        </is>
      </c>
    </row>
    <row r="666">
      <c r="A666" t="inlineStr">
        <is>
          <t>No</t>
        </is>
      </c>
      <c r="B666" t="inlineStr">
        <is>
          <t>HV6439.U7 I63 1997</t>
        </is>
      </c>
      <c r="C666" t="inlineStr">
        <is>
          <t>0                      HV 6439000U  7                  I  63          1997</t>
        </is>
      </c>
      <c r="D666" t="inlineStr">
        <is>
          <t>Female gang participation : the role of African-American women in the informal drug economy and gang activities / Deborah Burris-Kitchen.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Burris-Kitchen, Deborah.</t>
        </is>
      </c>
      <c r="L666" t="inlineStr">
        <is>
          <t>Lewiston, N.Y. : Edwin Mellen Press, c1997.</t>
        </is>
      </c>
      <c r="M666" t="inlineStr">
        <is>
          <t>1997</t>
        </is>
      </c>
      <c r="O666" t="inlineStr">
        <is>
          <t>eng</t>
        </is>
      </c>
      <c r="P666" t="inlineStr">
        <is>
          <t>nyu</t>
        </is>
      </c>
      <c r="Q666" t="inlineStr">
        <is>
          <t>Women's studies ; v. 17</t>
        </is>
      </c>
      <c r="R666" t="inlineStr">
        <is>
          <t xml:space="preserve">HV </t>
        </is>
      </c>
      <c r="S666" t="n">
        <v>9</v>
      </c>
      <c r="T666" t="n">
        <v>9</v>
      </c>
      <c r="U666" t="inlineStr">
        <is>
          <t>2009-04-26</t>
        </is>
      </c>
      <c r="V666" t="inlineStr">
        <is>
          <t>2009-04-26</t>
        </is>
      </c>
      <c r="W666" t="inlineStr">
        <is>
          <t>1997-11-18</t>
        </is>
      </c>
      <c r="X666" t="inlineStr">
        <is>
          <t>1997-11-18</t>
        </is>
      </c>
      <c r="Y666" t="n">
        <v>261</v>
      </c>
      <c r="Z666" t="n">
        <v>232</v>
      </c>
      <c r="AA666" t="n">
        <v>239</v>
      </c>
      <c r="AB666" t="n">
        <v>4</v>
      </c>
      <c r="AC666" t="n">
        <v>4</v>
      </c>
      <c r="AD666" t="n">
        <v>11</v>
      </c>
      <c r="AE666" t="n">
        <v>11</v>
      </c>
      <c r="AF666" t="n">
        <v>2</v>
      </c>
      <c r="AG666" t="n">
        <v>2</v>
      </c>
      <c r="AH666" t="n">
        <v>3</v>
      </c>
      <c r="AI666" t="n">
        <v>3</v>
      </c>
      <c r="AJ666" t="n">
        <v>5</v>
      </c>
      <c r="AK666" t="n">
        <v>5</v>
      </c>
      <c r="AL666" t="n">
        <v>3</v>
      </c>
      <c r="AM666" t="n">
        <v>3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HYPERLINK("http://catalog.hathitrust.org/Record/008316431","HathiTrust Record")</f>
        <v/>
      </c>
      <c r="AS666">
        <f>HYPERLINK("https://creighton-primo.hosted.exlibrisgroup.com/primo-explore/search?tab=default_tab&amp;search_scope=EVERYTHING&amp;vid=01CRU&amp;lang=en_US&amp;offset=0&amp;query=any,contains,991002811649702656","Catalog Record")</f>
        <v/>
      </c>
      <c r="AT666">
        <f>HYPERLINK("http://www.worldcat.org/oclc/36930779","WorldCat Record")</f>
        <v/>
      </c>
      <c r="AU666" t="inlineStr">
        <is>
          <t>836958227:eng</t>
        </is>
      </c>
      <c r="AV666" t="inlineStr">
        <is>
          <t>36930779</t>
        </is>
      </c>
      <c r="AW666" t="inlineStr">
        <is>
          <t>991002811649702656</t>
        </is>
      </c>
      <c r="AX666" t="inlineStr">
        <is>
          <t>991002811649702656</t>
        </is>
      </c>
      <c r="AY666" t="inlineStr">
        <is>
          <t>2271878180002656</t>
        </is>
      </c>
      <c r="AZ666" t="inlineStr">
        <is>
          <t>BOOK</t>
        </is>
      </c>
      <c r="BB666" t="inlineStr">
        <is>
          <t>9780773486171</t>
        </is>
      </c>
      <c r="BC666" t="inlineStr">
        <is>
          <t>32285003271375</t>
        </is>
      </c>
      <c r="BD666" t="inlineStr">
        <is>
          <t>893323409</t>
        </is>
      </c>
    </row>
    <row r="667">
      <c r="A667" t="inlineStr">
        <is>
          <t>No</t>
        </is>
      </c>
      <c r="B667" t="inlineStr">
        <is>
          <t>HV6439.U7 N435 1984</t>
        </is>
      </c>
      <c r="C667" t="inlineStr">
        <is>
          <t>0                      HV 6439000U  7                  N  435         1984</t>
        </is>
      </c>
      <c r="D667" t="inlineStr">
        <is>
          <t>The girls in the gang : a report from New York City / Anne Campbell.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Campbell, Anne.</t>
        </is>
      </c>
      <c r="L667" t="inlineStr">
        <is>
          <t>Oxford [Oxfordshire] ; New York, NY : B. Blackwell, 1984.</t>
        </is>
      </c>
      <c r="M667" t="inlineStr">
        <is>
          <t>1984</t>
        </is>
      </c>
      <c r="O667" t="inlineStr">
        <is>
          <t>eng</t>
        </is>
      </c>
      <c r="P667" t="inlineStr">
        <is>
          <t>enk</t>
        </is>
      </c>
      <c r="R667" t="inlineStr">
        <is>
          <t xml:space="preserve">HV </t>
        </is>
      </c>
      <c r="S667" t="n">
        <v>24</v>
      </c>
      <c r="T667" t="n">
        <v>24</v>
      </c>
      <c r="U667" t="inlineStr">
        <is>
          <t>2002-03-28</t>
        </is>
      </c>
      <c r="V667" t="inlineStr">
        <is>
          <t>2002-03-28</t>
        </is>
      </c>
      <c r="W667" t="inlineStr">
        <is>
          <t>1990-04-09</t>
        </is>
      </c>
      <c r="X667" t="inlineStr">
        <is>
          <t>1990-04-09</t>
        </is>
      </c>
      <c r="Y667" t="n">
        <v>792</v>
      </c>
      <c r="Z667" t="n">
        <v>620</v>
      </c>
      <c r="AA667" t="n">
        <v>817</v>
      </c>
      <c r="AB667" t="n">
        <v>6</v>
      </c>
      <c r="AC667" t="n">
        <v>8</v>
      </c>
      <c r="AD667" t="n">
        <v>24</v>
      </c>
      <c r="AE667" t="n">
        <v>34</v>
      </c>
      <c r="AF667" t="n">
        <v>8</v>
      </c>
      <c r="AG667" t="n">
        <v>14</v>
      </c>
      <c r="AH667" t="n">
        <v>7</v>
      </c>
      <c r="AI667" t="n">
        <v>9</v>
      </c>
      <c r="AJ667" t="n">
        <v>14</v>
      </c>
      <c r="AK667" t="n">
        <v>16</v>
      </c>
      <c r="AL667" t="n">
        <v>3</v>
      </c>
      <c r="AM667" t="n">
        <v>5</v>
      </c>
      <c r="AN667" t="n">
        <v>0</v>
      </c>
      <c r="AO667" t="n">
        <v>0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HYPERLINK("https://creighton-primo.hosted.exlibrisgroup.com/primo-explore/search?tab=default_tab&amp;search_scope=EVERYTHING&amp;vid=01CRU&amp;lang=en_US&amp;offset=0&amp;query=any,contains,991000473029702656","Catalog Record")</f>
        <v/>
      </c>
      <c r="AT667">
        <f>HYPERLINK("http://www.worldcat.org/oclc/10998754","WorldCat Record")</f>
        <v/>
      </c>
      <c r="AU667" t="inlineStr">
        <is>
          <t>151229482:eng</t>
        </is>
      </c>
      <c r="AV667" t="inlineStr">
        <is>
          <t>10998754</t>
        </is>
      </c>
      <c r="AW667" t="inlineStr">
        <is>
          <t>991000473029702656</t>
        </is>
      </c>
      <c r="AX667" t="inlineStr">
        <is>
          <t>991000473029702656</t>
        </is>
      </c>
      <c r="AY667" t="inlineStr">
        <is>
          <t>2261363520002656</t>
        </is>
      </c>
      <c r="AZ667" t="inlineStr">
        <is>
          <t>BOOK</t>
        </is>
      </c>
      <c r="BB667" t="inlineStr">
        <is>
          <t>9780631133742</t>
        </is>
      </c>
      <c r="BC667" t="inlineStr">
        <is>
          <t>32285000112762</t>
        </is>
      </c>
      <c r="BD667" t="inlineStr">
        <is>
          <t>893896905</t>
        </is>
      </c>
    </row>
    <row r="668">
      <c r="A668" t="inlineStr">
        <is>
          <t>No</t>
        </is>
      </c>
      <c r="B668" t="inlineStr">
        <is>
          <t>HV6441 .O74 1986</t>
        </is>
      </c>
      <c r="C668" t="inlineStr">
        <is>
          <t>0                      HV 6441000O  74          1986</t>
        </is>
      </c>
      <c r="D668" t="inlineStr">
        <is>
          <t>Organized crime : a global perspective / edited by Robert J. Kelly.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L668" t="inlineStr">
        <is>
          <t>Totowa, N.J. : Rowman &amp; Littlefield, 1986.</t>
        </is>
      </c>
      <c r="M668" t="inlineStr">
        <is>
          <t>1986</t>
        </is>
      </c>
      <c r="O668" t="inlineStr">
        <is>
          <t>eng</t>
        </is>
      </c>
      <c r="P668" t="inlineStr">
        <is>
          <t>nju</t>
        </is>
      </c>
      <c r="R668" t="inlineStr">
        <is>
          <t xml:space="preserve">HV </t>
        </is>
      </c>
      <c r="S668" t="n">
        <v>28</v>
      </c>
      <c r="T668" t="n">
        <v>28</v>
      </c>
      <c r="U668" t="inlineStr">
        <is>
          <t>2006-11-09</t>
        </is>
      </c>
      <c r="V668" t="inlineStr">
        <is>
          <t>2006-11-09</t>
        </is>
      </c>
      <c r="W668" t="inlineStr">
        <is>
          <t>1992-04-09</t>
        </is>
      </c>
      <c r="X668" t="inlineStr">
        <is>
          <t>1992-04-09</t>
        </is>
      </c>
      <c r="Y668" t="n">
        <v>558</v>
      </c>
      <c r="Z668" t="n">
        <v>499</v>
      </c>
      <c r="AA668" t="n">
        <v>504</v>
      </c>
      <c r="AB668" t="n">
        <v>4</v>
      </c>
      <c r="AC668" t="n">
        <v>4</v>
      </c>
      <c r="AD668" t="n">
        <v>30</v>
      </c>
      <c r="AE668" t="n">
        <v>31</v>
      </c>
      <c r="AF668" t="n">
        <v>11</v>
      </c>
      <c r="AG668" t="n">
        <v>12</v>
      </c>
      <c r="AH668" t="n">
        <v>6</v>
      </c>
      <c r="AI668" t="n">
        <v>6</v>
      </c>
      <c r="AJ668" t="n">
        <v>14</v>
      </c>
      <c r="AK668" t="n">
        <v>15</v>
      </c>
      <c r="AL668" t="n">
        <v>3</v>
      </c>
      <c r="AM668" t="n">
        <v>3</v>
      </c>
      <c r="AN668" t="n">
        <v>2</v>
      </c>
      <c r="AO668" t="n">
        <v>2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HYPERLINK("http://catalog.hathitrust.org/Record/000556559","HathiTrust Record")</f>
        <v/>
      </c>
      <c r="AS668">
        <f>HYPERLINK("https://creighton-primo.hosted.exlibrisgroup.com/primo-explore/search?tab=default_tab&amp;search_scope=EVERYTHING&amp;vid=01CRU&amp;lang=en_US&amp;offset=0&amp;query=any,contains,991000732789702656","Catalog Record")</f>
        <v/>
      </c>
      <c r="AT668">
        <f>HYPERLINK("http://www.worldcat.org/oclc/12749766","WorldCat Record")</f>
        <v/>
      </c>
      <c r="AU668" t="inlineStr">
        <is>
          <t>5827118:eng</t>
        </is>
      </c>
      <c r="AV668" t="inlineStr">
        <is>
          <t>12749766</t>
        </is>
      </c>
      <c r="AW668" t="inlineStr">
        <is>
          <t>991000732789702656</t>
        </is>
      </c>
      <c r="AX668" t="inlineStr">
        <is>
          <t>991000732789702656</t>
        </is>
      </c>
      <c r="AY668" t="inlineStr">
        <is>
          <t>2265488090002656</t>
        </is>
      </c>
      <c r="AZ668" t="inlineStr">
        <is>
          <t>BOOK</t>
        </is>
      </c>
      <c r="BB668" t="inlineStr">
        <is>
          <t>9780865980853</t>
        </is>
      </c>
      <c r="BC668" t="inlineStr">
        <is>
          <t>32285001058436</t>
        </is>
      </c>
      <c r="BD668" t="inlineStr">
        <is>
          <t>893243525</t>
        </is>
      </c>
    </row>
    <row r="669">
      <c r="A669" t="inlineStr">
        <is>
          <t>No</t>
        </is>
      </c>
      <c r="B669" t="inlineStr">
        <is>
          <t>HV6441 .R9 1995</t>
        </is>
      </c>
      <c r="C669" t="inlineStr">
        <is>
          <t>0                      HV 6441000R  9           1995</t>
        </is>
      </c>
      <c r="D669" t="inlineStr">
        <is>
          <t>Organized crime : a reference handbook / Patrick J. Ryan.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Ryan, Patrick J., 1941-</t>
        </is>
      </c>
      <c r="L669" t="inlineStr">
        <is>
          <t>Santa Barbara, Calif. : ABC-CLIO, 1995.</t>
        </is>
      </c>
      <c r="M669" t="inlineStr">
        <is>
          <t>1995</t>
        </is>
      </c>
      <c r="O669" t="inlineStr">
        <is>
          <t>eng</t>
        </is>
      </c>
      <c r="P669" t="inlineStr">
        <is>
          <t>cau</t>
        </is>
      </c>
      <c r="Q669" t="inlineStr">
        <is>
          <t>Contemporary world issues</t>
        </is>
      </c>
      <c r="R669" t="inlineStr">
        <is>
          <t xml:space="preserve">HV </t>
        </is>
      </c>
      <c r="S669" t="n">
        <v>5</v>
      </c>
      <c r="T669" t="n">
        <v>5</v>
      </c>
      <c r="U669" t="inlineStr">
        <is>
          <t>2009-10-27</t>
        </is>
      </c>
      <c r="V669" t="inlineStr">
        <is>
          <t>2009-10-27</t>
        </is>
      </c>
      <c r="W669" t="inlineStr">
        <is>
          <t>1995-12-27</t>
        </is>
      </c>
      <c r="X669" t="inlineStr">
        <is>
          <t>1995-12-27</t>
        </is>
      </c>
      <c r="Y669" t="n">
        <v>541</v>
      </c>
      <c r="Z669" t="n">
        <v>500</v>
      </c>
      <c r="AA669" t="n">
        <v>1309</v>
      </c>
      <c r="AB669" t="n">
        <v>6</v>
      </c>
      <c r="AC669" t="n">
        <v>9</v>
      </c>
      <c r="AD669" t="n">
        <v>18</v>
      </c>
      <c r="AE669" t="n">
        <v>31</v>
      </c>
      <c r="AF669" t="n">
        <v>4</v>
      </c>
      <c r="AG669" t="n">
        <v>10</v>
      </c>
      <c r="AH669" t="n">
        <v>3</v>
      </c>
      <c r="AI669" t="n">
        <v>6</v>
      </c>
      <c r="AJ669" t="n">
        <v>8</v>
      </c>
      <c r="AK669" t="n">
        <v>13</v>
      </c>
      <c r="AL669" t="n">
        <v>5</v>
      </c>
      <c r="AM669" t="n">
        <v>7</v>
      </c>
      <c r="AN669" t="n">
        <v>2</v>
      </c>
      <c r="AO669" t="n">
        <v>2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HYPERLINK("https://creighton-primo.hosted.exlibrisgroup.com/primo-explore/search?tab=default_tab&amp;search_scope=EVERYTHING&amp;vid=01CRU&amp;lang=en_US&amp;offset=0&amp;query=any,contains,991002648809702656","Catalog Record")</f>
        <v/>
      </c>
      <c r="AT669">
        <f>HYPERLINK("http://www.worldcat.org/oclc/32236071","WorldCat Record")</f>
        <v/>
      </c>
      <c r="AU669" t="inlineStr">
        <is>
          <t>799394033:eng</t>
        </is>
      </c>
      <c r="AV669" t="inlineStr">
        <is>
          <t>32236071</t>
        </is>
      </c>
      <c r="AW669" t="inlineStr">
        <is>
          <t>991002648809702656</t>
        </is>
      </c>
      <c r="AX669" t="inlineStr">
        <is>
          <t>991002648809702656</t>
        </is>
      </c>
      <c r="AY669" t="inlineStr">
        <is>
          <t>2266392830002656</t>
        </is>
      </c>
      <c r="AZ669" t="inlineStr">
        <is>
          <t>BOOK</t>
        </is>
      </c>
      <c r="BB669" t="inlineStr">
        <is>
          <t>9780874367461</t>
        </is>
      </c>
      <c r="BC669" t="inlineStr">
        <is>
          <t>32285002112141</t>
        </is>
      </c>
      <c r="BD669" t="inlineStr">
        <is>
          <t>893591605</t>
        </is>
      </c>
    </row>
    <row r="670">
      <c r="A670" t="inlineStr">
        <is>
          <t>No</t>
        </is>
      </c>
      <c r="B670" t="inlineStr">
        <is>
          <t>HV6446 .A34 1996</t>
        </is>
      </c>
      <c r="C670" t="inlineStr">
        <is>
          <t>0                      HV 6446000A  34          1996</t>
        </is>
      </c>
      <c r="D670" t="inlineStr">
        <is>
          <t>Organized crime in America / Jay S. Albanese.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Albanese, Jay S.</t>
        </is>
      </c>
      <c r="L670" t="inlineStr">
        <is>
          <t>Cincinnati : Anderson Pub. Co., c1996.</t>
        </is>
      </c>
      <c r="M670" t="inlineStr">
        <is>
          <t>1996</t>
        </is>
      </c>
      <c r="N670" t="inlineStr">
        <is>
          <t>3rd ed.</t>
        </is>
      </c>
      <c r="O670" t="inlineStr">
        <is>
          <t>eng</t>
        </is>
      </c>
      <c r="P670" t="inlineStr">
        <is>
          <t>ohu</t>
        </is>
      </c>
      <c r="R670" t="inlineStr">
        <is>
          <t xml:space="preserve">HV </t>
        </is>
      </c>
      <c r="S670" t="n">
        <v>19</v>
      </c>
      <c r="T670" t="n">
        <v>19</v>
      </c>
      <c r="U670" t="inlineStr">
        <is>
          <t>2009-10-27</t>
        </is>
      </c>
      <c r="V670" t="inlineStr">
        <is>
          <t>2009-10-27</t>
        </is>
      </c>
      <c r="W670" t="inlineStr">
        <is>
          <t>1999-01-21</t>
        </is>
      </c>
      <c r="X670" t="inlineStr">
        <is>
          <t>1999-01-21</t>
        </is>
      </c>
      <c r="Y670" t="n">
        <v>165</v>
      </c>
      <c r="Z670" t="n">
        <v>141</v>
      </c>
      <c r="AA670" t="n">
        <v>392</v>
      </c>
      <c r="AB670" t="n">
        <v>2</v>
      </c>
      <c r="AC670" t="n">
        <v>7</v>
      </c>
      <c r="AD670" t="n">
        <v>8</v>
      </c>
      <c r="AE670" t="n">
        <v>24</v>
      </c>
      <c r="AF670" t="n">
        <v>3</v>
      </c>
      <c r="AG670" t="n">
        <v>8</v>
      </c>
      <c r="AH670" t="n">
        <v>0</v>
      </c>
      <c r="AI670" t="n">
        <v>1</v>
      </c>
      <c r="AJ670" t="n">
        <v>2</v>
      </c>
      <c r="AK670" t="n">
        <v>7</v>
      </c>
      <c r="AL670" t="n">
        <v>1</v>
      </c>
      <c r="AM670" t="n">
        <v>5</v>
      </c>
      <c r="AN670" t="n">
        <v>3</v>
      </c>
      <c r="AO670" t="n">
        <v>8</v>
      </c>
      <c r="AP670" t="inlineStr">
        <is>
          <t>No</t>
        </is>
      </c>
      <c r="AQ670" t="inlineStr">
        <is>
          <t>No</t>
        </is>
      </c>
      <c r="AS670">
        <f>HYPERLINK("https://creighton-primo.hosted.exlibrisgroup.com/primo-explore/search?tab=default_tab&amp;search_scope=EVERYTHING&amp;vid=01CRU&amp;lang=en_US&amp;offset=0&amp;query=any,contains,991002594639702656","Catalog Record")</f>
        <v/>
      </c>
      <c r="AT670">
        <f>HYPERLINK("http://www.worldcat.org/oclc/33983292","WorldCat Record")</f>
        <v/>
      </c>
      <c r="AU670" t="inlineStr">
        <is>
          <t>2260832317:eng</t>
        </is>
      </c>
      <c r="AV670" t="inlineStr">
        <is>
          <t>33983292</t>
        </is>
      </c>
      <c r="AW670" t="inlineStr">
        <is>
          <t>991002594639702656</t>
        </is>
      </c>
      <c r="AX670" t="inlineStr">
        <is>
          <t>991002594639702656</t>
        </is>
      </c>
      <c r="AY670" t="inlineStr">
        <is>
          <t>2261964830002656</t>
        </is>
      </c>
      <c r="AZ670" t="inlineStr">
        <is>
          <t>BOOK</t>
        </is>
      </c>
      <c r="BB670" t="inlineStr">
        <is>
          <t>9780870840289</t>
        </is>
      </c>
      <c r="BC670" t="inlineStr">
        <is>
          <t>32285003514626</t>
        </is>
      </c>
      <c r="BD670" t="inlineStr">
        <is>
          <t>893610029</t>
        </is>
      </c>
    </row>
    <row r="671">
      <c r="A671" t="inlineStr">
        <is>
          <t>No</t>
        </is>
      </c>
      <c r="B671" t="inlineStr">
        <is>
          <t>HV6446 .D37 1993</t>
        </is>
      </c>
      <c r="C671" t="inlineStr">
        <is>
          <t>0                      HV 6446000D  37          1993</t>
        </is>
      </c>
      <c r="D671" t="inlineStr">
        <is>
          <t>Mafia dynasty : the rise and fall of the Gambino crime family / John H. Davis.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Davis, John H., 1929-2012.</t>
        </is>
      </c>
      <c r="L671" t="inlineStr">
        <is>
          <t>New York : HarperCollins Publishers, c1993.</t>
        </is>
      </c>
      <c r="M671" t="inlineStr">
        <is>
          <t>1993</t>
        </is>
      </c>
      <c r="N671" t="inlineStr">
        <is>
          <t>1st ed.</t>
        </is>
      </c>
      <c r="O671" t="inlineStr">
        <is>
          <t>eng</t>
        </is>
      </c>
      <c r="P671" t="inlineStr">
        <is>
          <t>nyu</t>
        </is>
      </c>
      <c r="R671" t="inlineStr">
        <is>
          <t xml:space="preserve">HV </t>
        </is>
      </c>
      <c r="S671" t="n">
        <v>26</v>
      </c>
      <c r="T671" t="n">
        <v>26</v>
      </c>
      <c r="U671" t="inlineStr">
        <is>
          <t>2006-11-09</t>
        </is>
      </c>
      <c r="V671" t="inlineStr">
        <is>
          <t>2006-11-09</t>
        </is>
      </c>
      <c r="W671" t="inlineStr">
        <is>
          <t>1993-03-31</t>
        </is>
      </c>
      <c r="X671" t="inlineStr">
        <is>
          <t>1993-03-31</t>
        </is>
      </c>
      <c r="Y671" t="n">
        <v>554</v>
      </c>
      <c r="Z671" t="n">
        <v>523</v>
      </c>
      <c r="AA671" t="n">
        <v>619</v>
      </c>
      <c r="AB671" t="n">
        <v>4</v>
      </c>
      <c r="AC671" t="n">
        <v>7</v>
      </c>
      <c r="AD671" t="n">
        <v>10</v>
      </c>
      <c r="AE671" t="n">
        <v>12</v>
      </c>
      <c r="AF671" t="n">
        <v>4</v>
      </c>
      <c r="AG671" t="n">
        <v>5</v>
      </c>
      <c r="AH671" t="n">
        <v>1</v>
      </c>
      <c r="AI671" t="n">
        <v>1</v>
      </c>
      <c r="AJ671" t="n">
        <v>7</v>
      </c>
      <c r="AK671" t="n">
        <v>7</v>
      </c>
      <c r="AL671" t="n">
        <v>1</v>
      </c>
      <c r="AM671" t="n">
        <v>2</v>
      </c>
      <c r="AN671" t="n">
        <v>1</v>
      </c>
      <c r="AO671" t="n">
        <v>1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HYPERLINK("https://creighton-primo.hosted.exlibrisgroup.com/primo-explore/search?tab=default_tab&amp;search_scope=EVERYTHING&amp;vid=01CRU&amp;lang=en_US&amp;offset=0&amp;query=any,contains,991002059419702656","Catalog Record")</f>
        <v/>
      </c>
      <c r="AT671">
        <f>HYPERLINK("http://www.worldcat.org/oclc/26356720","WorldCat Record")</f>
        <v/>
      </c>
      <c r="AU671" t="inlineStr">
        <is>
          <t>194783881:eng</t>
        </is>
      </c>
      <c r="AV671" t="inlineStr">
        <is>
          <t>26356720</t>
        </is>
      </c>
      <c r="AW671" t="inlineStr">
        <is>
          <t>991002059419702656</t>
        </is>
      </c>
      <c r="AX671" t="inlineStr">
        <is>
          <t>991002059419702656</t>
        </is>
      </c>
      <c r="AY671" t="inlineStr">
        <is>
          <t>2268398890002656</t>
        </is>
      </c>
      <c r="AZ671" t="inlineStr">
        <is>
          <t>BOOK</t>
        </is>
      </c>
      <c r="BB671" t="inlineStr">
        <is>
          <t>9780060163570</t>
        </is>
      </c>
      <c r="BC671" t="inlineStr">
        <is>
          <t>32285001499523</t>
        </is>
      </c>
      <c r="BD671" t="inlineStr">
        <is>
          <t>893516845</t>
        </is>
      </c>
    </row>
    <row r="672">
      <c r="A672" t="inlineStr">
        <is>
          <t>No</t>
        </is>
      </c>
      <c r="B672" t="inlineStr">
        <is>
          <t>HV6446 .F56 1998</t>
        </is>
      </c>
      <c r="C672" t="inlineStr">
        <is>
          <t>0                      HV 6446000F  56          1998</t>
        </is>
      </c>
      <c r="D672" t="inlineStr">
        <is>
          <t>Russian mafia in America : immigration, culture, and crime / James O. Finckenauer, Elin J. Waring.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Finckenauer, James O.</t>
        </is>
      </c>
      <c r="L672" t="inlineStr">
        <is>
          <t>Boston : Northeastern University Press, c1998.</t>
        </is>
      </c>
      <c r="M672" t="inlineStr">
        <is>
          <t>1998</t>
        </is>
      </c>
      <c r="O672" t="inlineStr">
        <is>
          <t>eng</t>
        </is>
      </c>
      <c r="P672" t="inlineStr">
        <is>
          <t>mau</t>
        </is>
      </c>
      <c r="R672" t="inlineStr">
        <is>
          <t xml:space="preserve">HV </t>
        </is>
      </c>
      <c r="S672" t="n">
        <v>7</v>
      </c>
      <c r="T672" t="n">
        <v>7</v>
      </c>
      <c r="U672" t="inlineStr">
        <is>
          <t>2005-11-18</t>
        </is>
      </c>
      <c r="V672" t="inlineStr">
        <is>
          <t>2005-11-18</t>
        </is>
      </c>
      <c r="W672" t="inlineStr">
        <is>
          <t>1999-11-08</t>
        </is>
      </c>
      <c r="X672" t="inlineStr">
        <is>
          <t>1999-11-08</t>
        </is>
      </c>
      <c r="Y672" t="n">
        <v>660</v>
      </c>
      <c r="Z672" t="n">
        <v>597</v>
      </c>
      <c r="AA672" t="n">
        <v>629</v>
      </c>
      <c r="AB672" t="n">
        <v>5</v>
      </c>
      <c r="AC672" t="n">
        <v>5</v>
      </c>
      <c r="AD672" t="n">
        <v>35</v>
      </c>
      <c r="AE672" t="n">
        <v>36</v>
      </c>
      <c r="AF672" t="n">
        <v>14</v>
      </c>
      <c r="AG672" t="n">
        <v>15</v>
      </c>
      <c r="AH672" t="n">
        <v>8</v>
      </c>
      <c r="AI672" t="n">
        <v>8</v>
      </c>
      <c r="AJ672" t="n">
        <v>15</v>
      </c>
      <c r="AK672" t="n">
        <v>15</v>
      </c>
      <c r="AL672" t="n">
        <v>4</v>
      </c>
      <c r="AM672" t="n">
        <v>4</v>
      </c>
      <c r="AN672" t="n">
        <v>4</v>
      </c>
      <c r="AO672" t="n">
        <v>4</v>
      </c>
      <c r="AP672" t="inlineStr">
        <is>
          <t>No</t>
        </is>
      </c>
      <c r="AQ672" t="inlineStr">
        <is>
          <t>No</t>
        </is>
      </c>
      <c r="AS672">
        <f>HYPERLINK("https://creighton-primo.hosted.exlibrisgroup.com/primo-explore/search?tab=default_tab&amp;search_scope=EVERYTHING&amp;vid=01CRU&amp;lang=en_US&amp;offset=0&amp;query=any,contains,991002933489702656","Catalog Record")</f>
        <v/>
      </c>
      <c r="AT672">
        <f>HYPERLINK("http://www.worldcat.org/oclc/39007246","WorldCat Record")</f>
        <v/>
      </c>
      <c r="AU672" t="inlineStr">
        <is>
          <t>815112688:eng</t>
        </is>
      </c>
      <c r="AV672" t="inlineStr">
        <is>
          <t>39007246</t>
        </is>
      </c>
      <c r="AW672" t="inlineStr">
        <is>
          <t>991002933489702656</t>
        </is>
      </c>
      <c r="AX672" t="inlineStr">
        <is>
          <t>991002933489702656</t>
        </is>
      </c>
      <c r="AY672" t="inlineStr">
        <is>
          <t>2267914860002656</t>
        </is>
      </c>
      <c r="AZ672" t="inlineStr">
        <is>
          <t>BOOK</t>
        </is>
      </c>
      <c r="BB672" t="inlineStr">
        <is>
          <t>9781555533748</t>
        </is>
      </c>
      <c r="BC672" t="inlineStr">
        <is>
          <t>32285003618948</t>
        </is>
      </c>
      <c r="BD672" t="inlineStr">
        <is>
          <t>893445455</t>
        </is>
      </c>
    </row>
    <row r="673">
      <c r="A673" t="inlineStr">
        <is>
          <t>No</t>
        </is>
      </c>
      <c r="B673" t="inlineStr">
        <is>
          <t>HV6446 .F68 1989</t>
        </is>
      </c>
      <c r="C673" t="inlineStr">
        <is>
          <t>0                      HV 6446000F  68          1989</t>
        </is>
      </c>
      <c r="D673" t="inlineStr">
        <is>
          <t>Blood and power : organized crime in twentieth-century America / Stephen Fox.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Fox, Stephen R.</t>
        </is>
      </c>
      <c r="L673" t="inlineStr">
        <is>
          <t>New York : W. Morrow, 1989.</t>
        </is>
      </c>
      <c r="M673" t="inlineStr">
        <is>
          <t>1989</t>
        </is>
      </c>
      <c r="O673" t="inlineStr">
        <is>
          <t>eng</t>
        </is>
      </c>
      <c r="P673" t="inlineStr">
        <is>
          <t>nyu</t>
        </is>
      </c>
      <c r="R673" t="inlineStr">
        <is>
          <t xml:space="preserve">HV </t>
        </is>
      </c>
      <c r="S673" t="n">
        <v>39</v>
      </c>
      <c r="T673" t="n">
        <v>39</v>
      </c>
      <c r="U673" t="inlineStr">
        <is>
          <t>2006-11-09</t>
        </is>
      </c>
      <c r="V673" t="inlineStr">
        <is>
          <t>2006-11-09</t>
        </is>
      </c>
      <c r="W673" t="inlineStr">
        <is>
          <t>1997-01-20</t>
        </is>
      </c>
      <c r="X673" t="inlineStr">
        <is>
          <t>1997-01-20</t>
        </is>
      </c>
      <c r="Y673" t="n">
        <v>1248</v>
      </c>
      <c r="Z673" t="n">
        <v>1179</v>
      </c>
      <c r="AA673" t="n">
        <v>1335</v>
      </c>
      <c r="AB673" t="n">
        <v>12</v>
      </c>
      <c r="AC673" t="n">
        <v>13</v>
      </c>
      <c r="AD673" t="n">
        <v>32</v>
      </c>
      <c r="AE673" t="n">
        <v>36</v>
      </c>
      <c r="AF673" t="n">
        <v>14</v>
      </c>
      <c r="AG673" t="n">
        <v>16</v>
      </c>
      <c r="AH673" t="n">
        <v>5</v>
      </c>
      <c r="AI673" t="n">
        <v>6</v>
      </c>
      <c r="AJ673" t="n">
        <v>13</v>
      </c>
      <c r="AK673" t="n">
        <v>14</v>
      </c>
      <c r="AL673" t="n">
        <v>4</v>
      </c>
      <c r="AM673" t="n">
        <v>4</v>
      </c>
      <c r="AN673" t="n">
        <v>3</v>
      </c>
      <c r="AO673" t="n">
        <v>3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HYPERLINK("http://catalog.hathitrust.org/Record/001536324","HathiTrust Record")</f>
        <v/>
      </c>
      <c r="AS673">
        <f>HYPERLINK("https://creighton-primo.hosted.exlibrisgroup.com/primo-explore/search?tab=default_tab&amp;search_scope=EVERYTHING&amp;vid=01CRU&amp;lang=en_US&amp;offset=0&amp;query=any,contains,991001451549702656","Catalog Record")</f>
        <v/>
      </c>
      <c r="AT673">
        <f>HYPERLINK("http://www.worldcat.org/oclc/19325336","WorldCat Record")</f>
        <v/>
      </c>
      <c r="AU673" t="inlineStr">
        <is>
          <t>21427553:eng</t>
        </is>
      </c>
      <c r="AV673" t="inlineStr">
        <is>
          <t>19325336</t>
        </is>
      </c>
      <c r="AW673" t="inlineStr">
        <is>
          <t>991001451549702656</t>
        </is>
      </c>
      <c r="AX673" t="inlineStr">
        <is>
          <t>991001451549702656</t>
        </is>
      </c>
      <c r="AY673" t="inlineStr">
        <is>
          <t>2265479970002656</t>
        </is>
      </c>
      <c r="AZ673" t="inlineStr">
        <is>
          <t>BOOK</t>
        </is>
      </c>
      <c r="BB673" t="inlineStr">
        <is>
          <t>9780688043506</t>
        </is>
      </c>
      <c r="BC673" t="inlineStr">
        <is>
          <t>32285002397817</t>
        </is>
      </c>
      <c r="BD673" t="inlineStr">
        <is>
          <t>893420328</t>
        </is>
      </c>
    </row>
    <row r="674">
      <c r="A674" t="inlineStr">
        <is>
          <t>No</t>
        </is>
      </c>
      <c r="B674" t="inlineStr">
        <is>
          <t>HV6452.N7 B76 2005</t>
        </is>
      </c>
      <c r="C674" t="inlineStr">
        <is>
          <t>0                      HV 6452000N  7                  B  76          2005</t>
        </is>
      </c>
      <c r="D674" t="inlineStr">
        <is>
          <t>Queens reigns supreme : Fat Cat, 50 Cent and the rise of the hip-hop hustler / Ethan Brown.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Brown, Ethan, 1972-</t>
        </is>
      </c>
      <c r="L674" t="inlineStr">
        <is>
          <t>New York : Anchor Books, 2005.</t>
        </is>
      </c>
      <c r="M674" t="inlineStr">
        <is>
          <t>2005</t>
        </is>
      </c>
      <c r="O674" t="inlineStr">
        <is>
          <t>eng</t>
        </is>
      </c>
      <c r="P674" t="inlineStr">
        <is>
          <t>nyu</t>
        </is>
      </c>
      <c r="R674" t="inlineStr">
        <is>
          <t xml:space="preserve">HV </t>
        </is>
      </c>
      <c r="S674" t="n">
        <v>1</v>
      </c>
      <c r="T674" t="n">
        <v>1</v>
      </c>
      <c r="U674" t="inlineStr">
        <is>
          <t>2006-05-18</t>
        </is>
      </c>
      <c r="V674" t="inlineStr">
        <is>
          <t>2006-05-18</t>
        </is>
      </c>
      <c r="W674" t="inlineStr">
        <is>
          <t>2006-05-18</t>
        </is>
      </c>
      <c r="X674" t="inlineStr">
        <is>
          <t>2006-05-18</t>
        </is>
      </c>
      <c r="Y674" t="n">
        <v>459</v>
      </c>
      <c r="Z674" t="n">
        <v>437</v>
      </c>
      <c r="AA674" t="n">
        <v>471</v>
      </c>
      <c r="AB674" t="n">
        <v>2</v>
      </c>
      <c r="AC674" t="n">
        <v>2</v>
      </c>
      <c r="AD674" t="n">
        <v>10</v>
      </c>
      <c r="AE674" t="n">
        <v>10</v>
      </c>
      <c r="AF674" t="n">
        <v>3</v>
      </c>
      <c r="AG674" t="n">
        <v>3</v>
      </c>
      <c r="AH674" t="n">
        <v>2</v>
      </c>
      <c r="AI674" t="n">
        <v>2</v>
      </c>
      <c r="AJ674" t="n">
        <v>6</v>
      </c>
      <c r="AK674" t="n">
        <v>6</v>
      </c>
      <c r="AL674" t="n">
        <v>1</v>
      </c>
      <c r="AM674" t="n">
        <v>1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HYPERLINK("https://creighton-primo.hosted.exlibrisgroup.com/primo-explore/search?tab=default_tab&amp;search_scope=EVERYTHING&amp;vid=01CRU&amp;lang=en_US&amp;offset=0&amp;query=any,contains,991004688579702656","Catalog Record")</f>
        <v/>
      </c>
      <c r="AT674">
        <f>HYPERLINK("http://www.worldcat.org/oclc/61529851","WorldCat Record")</f>
        <v/>
      </c>
      <c r="AU674" t="inlineStr">
        <is>
          <t>859154849:eng</t>
        </is>
      </c>
      <c r="AV674" t="inlineStr">
        <is>
          <t>61529851</t>
        </is>
      </c>
      <c r="AW674" t="inlineStr">
        <is>
          <t>991004688579702656</t>
        </is>
      </c>
      <c r="AX674" t="inlineStr">
        <is>
          <t>991004688579702656</t>
        </is>
      </c>
      <c r="AY674" t="inlineStr">
        <is>
          <t>2268254460002656</t>
        </is>
      </c>
      <c r="AZ674" t="inlineStr">
        <is>
          <t>BOOK</t>
        </is>
      </c>
      <c r="BB674" t="inlineStr">
        <is>
          <t>9781400095230</t>
        </is>
      </c>
      <c r="BC674" t="inlineStr">
        <is>
          <t>32285005187959</t>
        </is>
      </c>
      <c r="BD674" t="inlineStr">
        <is>
          <t>893526395</t>
        </is>
      </c>
    </row>
    <row r="675">
      <c r="A675" t="inlineStr">
        <is>
          <t>No</t>
        </is>
      </c>
      <c r="B675" t="inlineStr">
        <is>
          <t>HV6452.P4 M34258 2004</t>
        </is>
      </c>
      <c r="C675" t="inlineStr">
        <is>
          <t>0                      HV 6452000P  4                  M  34258       2004</t>
        </is>
      </c>
      <c r="D675" t="inlineStr">
        <is>
          <t>The last gangster : from cop to wiseguy to FBI informant : big Ron Previte and the fall of the American mob / George Anastasia.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Anastasia, George.</t>
        </is>
      </c>
      <c r="L675" t="inlineStr">
        <is>
          <t>New York: ReganBooks, c2004.</t>
        </is>
      </c>
      <c r="M675" t="inlineStr">
        <is>
          <t>2004</t>
        </is>
      </c>
      <c r="N675" t="inlineStr">
        <is>
          <t>1st ed.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HV </t>
        </is>
      </c>
      <c r="S675" t="n">
        <v>5</v>
      </c>
      <c r="T675" t="n">
        <v>5</v>
      </c>
      <c r="U675" t="inlineStr">
        <is>
          <t>2010-06-30</t>
        </is>
      </c>
      <c r="V675" t="inlineStr">
        <is>
          <t>2010-06-30</t>
        </is>
      </c>
      <c r="W675" t="inlineStr">
        <is>
          <t>2004-04-15</t>
        </is>
      </c>
      <c r="X675" t="inlineStr">
        <is>
          <t>2004-04-15</t>
        </is>
      </c>
      <c r="Y675" t="n">
        <v>602</v>
      </c>
      <c r="Z675" t="n">
        <v>579</v>
      </c>
      <c r="AA675" t="n">
        <v>616</v>
      </c>
      <c r="AB675" t="n">
        <v>7</v>
      </c>
      <c r="AC675" t="n">
        <v>7</v>
      </c>
      <c r="AD675" t="n">
        <v>5</v>
      </c>
      <c r="AE675" t="n">
        <v>6</v>
      </c>
      <c r="AF675" t="n">
        <v>2</v>
      </c>
      <c r="AG675" t="n">
        <v>2</v>
      </c>
      <c r="AH675" t="n">
        <v>1</v>
      </c>
      <c r="AI675" t="n">
        <v>2</v>
      </c>
      <c r="AJ675" t="n">
        <v>2</v>
      </c>
      <c r="AK675" t="n">
        <v>2</v>
      </c>
      <c r="AL675" t="n">
        <v>1</v>
      </c>
      <c r="AM675" t="n">
        <v>1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HYPERLINK("https://creighton-primo.hosted.exlibrisgroup.com/primo-explore/search?tab=default_tab&amp;search_scope=EVERYTHING&amp;vid=01CRU&amp;lang=en_US&amp;offset=0&amp;query=any,contains,991004284949702656","Catalog Record")</f>
        <v/>
      </c>
      <c r="AT675">
        <f>HYPERLINK("http://www.worldcat.org/oclc/53814470","WorldCat Record")</f>
        <v/>
      </c>
      <c r="AU675" t="inlineStr">
        <is>
          <t>649645:eng</t>
        </is>
      </c>
      <c r="AV675" t="inlineStr">
        <is>
          <t>53814470</t>
        </is>
      </c>
      <c r="AW675" t="inlineStr">
        <is>
          <t>991004284949702656</t>
        </is>
      </c>
      <c r="AX675" t="inlineStr">
        <is>
          <t>991004284949702656</t>
        </is>
      </c>
      <c r="AY675" t="inlineStr">
        <is>
          <t>2271845310002656</t>
        </is>
      </c>
      <c r="AZ675" t="inlineStr">
        <is>
          <t>BOOK</t>
        </is>
      </c>
      <c r="BB675" t="inlineStr">
        <is>
          <t>9780060544225</t>
        </is>
      </c>
      <c r="BC675" t="inlineStr">
        <is>
          <t>32285004899885</t>
        </is>
      </c>
      <c r="BD675" t="inlineStr">
        <is>
          <t>893901049</t>
        </is>
      </c>
    </row>
    <row r="676">
      <c r="A676" t="inlineStr">
        <is>
          <t>No</t>
        </is>
      </c>
      <c r="B676" t="inlineStr">
        <is>
          <t>HV6452.P4 M6 1964a</t>
        </is>
      </c>
      <c r="C676" t="inlineStr">
        <is>
          <t>0                      HV 6452000P  4                  M  6           1964a</t>
        </is>
      </c>
      <c r="D676" t="inlineStr">
        <is>
          <t>The Molly Maguires / Wayne G. Broehl, Jr.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Broehl, Wayne G., Jr.</t>
        </is>
      </c>
      <c r="L676" t="inlineStr">
        <is>
          <t>Cambridge, Mass. : Harvard University Press, 1965, c1964.</t>
        </is>
      </c>
      <c r="M676" t="inlineStr">
        <is>
          <t>1965</t>
        </is>
      </c>
      <c r="O676" t="inlineStr">
        <is>
          <t>eng</t>
        </is>
      </c>
      <c r="P676" t="inlineStr">
        <is>
          <t>mau</t>
        </is>
      </c>
      <c r="R676" t="inlineStr">
        <is>
          <t xml:space="preserve">HV </t>
        </is>
      </c>
      <c r="S676" t="n">
        <v>5</v>
      </c>
      <c r="T676" t="n">
        <v>5</v>
      </c>
      <c r="U676" t="inlineStr">
        <is>
          <t>2009-08-04</t>
        </is>
      </c>
      <c r="V676" t="inlineStr">
        <is>
          <t>2009-08-04</t>
        </is>
      </c>
      <c r="W676" t="inlineStr">
        <is>
          <t>1997-08-22</t>
        </is>
      </c>
      <c r="X676" t="inlineStr">
        <is>
          <t>1997-08-22</t>
        </is>
      </c>
      <c r="Y676" t="n">
        <v>94</v>
      </c>
      <c r="Z676" t="n">
        <v>65</v>
      </c>
      <c r="AA676" t="n">
        <v>1033</v>
      </c>
      <c r="AB676" t="n">
        <v>1</v>
      </c>
      <c r="AC676" t="n">
        <v>7</v>
      </c>
      <c r="AD676" t="n">
        <v>0</v>
      </c>
      <c r="AE676" t="n">
        <v>47</v>
      </c>
      <c r="AF676" t="n">
        <v>0</v>
      </c>
      <c r="AG676" t="n">
        <v>18</v>
      </c>
      <c r="AH676" t="n">
        <v>0</v>
      </c>
      <c r="AI676" t="n">
        <v>10</v>
      </c>
      <c r="AJ676" t="n">
        <v>0</v>
      </c>
      <c r="AK676" t="n">
        <v>23</v>
      </c>
      <c r="AL676" t="n">
        <v>0</v>
      </c>
      <c r="AM676" t="n">
        <v>5</v>
      </c>
      <c r="AN676" t="n">
        <v>0</v>
      </c>
      <c r="AO676" t="n">
        <v>4</v>
      </c>
      <c r="AP676" t="inlineStr">
        <is>
          <t>No</t>
        </is>
      </c>
      <c r="AQ676" t="inlineStr">
        <is>
          <t>No</t>
        </is>
      </c>
      <c r="AS676">
        <f>HYPERLINK("https://creighton-primo.hosted.exlibrisgroup.com/primo-explore/search?tab=default_tab&amp;search_scope=EVERYTHING&amp;vid=01CRU&amp;lang=en_US&amp;offset=0&amp;query=any,contains,991000206449702656","Catalog Record")</f>
        <v/>
      </c>
      <c r="AT676">
        <f>HYPERLINK("http://www.worldcat.org/oclc/9495889","WorldCat Record")</f>
        <v/>
      </c>
      <c r="AU676" t="inlineStr">
        <is>
          <t>536319:eng</t>
        </is>
      </c>
      <c r="AV676" t="inlineStr">
        <is>
          <t>9495889</t>
        </is>
      </c>
      <c r="AW676" t="inlineStr">
        <is>
          <t>991000206449702656</t>
        </is>
      </c>
      <c r="AX676" t="inlineStr">
        <is>
          <t>991000206449702656</t>
        </is>
      </c>
      <c r="AY676" t="inlineStr">
        <is>
          <t>2272058570002656</t>
        </is>
      </c>
      <c r="AZ676" t="inlineStr">
        <is>
          <t>BOOK</t>
        </is>
      </c>
      <c r="BC676" t="inlineStr">
        <is>
          <t>32285003158234</t>
        </is>
      </c>
      <c r="BD676" t="inlineStr">
        <is>
          <t>893595395</t>
        </is>
      </c>
    </row>
    <row r="677">
      <c r="A677" t="inlineStr">
        <is>
          <t>No</t>
        </is>
      </c>
      <c r="B677" t="inlineStr">
        <is>
          <t>HV6453.I83 M3766 1995</t>
        </is>
      </c>
      <c r="C677" t="inlineStr">
        <is>
          <t>0                      HV 6453000I  83                 M  3766        1995</t>
        </is>
      </c>
      <c r="D677" t="inlineStr">
        <is>
          <t>Excellent cadavers : the mafia and the death of the first Italian Republic / Alexander Stille.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Stille, Alexander.</t>
        </is>
      </c>
      <c r="L677" t="inlineStr">
        <is>
          <t>New York : Pantheon Books, c1995.</t>
        </is>
      </c>
      <c r="M677" t="inlineStr">
        <is>
          <t>1995</t>
        </is>
      </c>
      <c r="N677" t="inlineStr">
        <is>
          <t>1st ed.</t>
        </is>
      </c>
      <c r="O677" t="inlineStr">
        <is>
          <t>eng</t>
        </is>
      </c>
      <c r="P677" t="inlineStr">
        <is>
          <t>nyu</t>
        </is>
      </c>
      <c r="R677" t="inlineStr">
        <is>
          <t xml:space="preserve">HV </t>
        </is>
      </c>
      <c r="S677" t="n">
        <v>11</v>
      </c>
      <c r="T677" t="n">
        <v>11</v>
      </c>
      <c r="U677" t="inlineStr">
        <is>
          <t>2008-10-02</t>
        </is>
      </c>
      <c r="V677" t="inlineStr">
        <is>
          <t>2008-10-02</t>
        </is>
      </c>
      <c r="W677" t="inlineStr">
        <is>
          <t>1995-07-12</t>
        </is>
      </c>
      <c r="X677" t="inlineStr">
        <is>
          <t>1995-07-12</t>
        </is>
      </c>
      <c r="Y677" t="n">
        <v>681</v>
      </c>
      <c r="Z677" t="n">
        <v>610</v>
      </c>
      <c r="AA677" t="n">
        <v>682</v>
      </c>
      <c r="AB677" t="n">
        <v>5</v>
      </c>
      <c r="AC677" t="n">
        <v>6</v>
      </c>
      <c r="AD677" t="n">
        <v>23</v>
      </c>
      <c r="AE677" t="n">
        <v>29</v>
      </c>
      <c r="AF677" t="n">
        <v>9</v>
      </c>
      <c r="AG677" t="n">
        <v>12</v>
      </c>
      <c r="AH677" t="n">
        <v>7</v>
      </c>
      <c r="AI677" t="n">
        <v>8</v>
      </c>
      <c r="AJ677" t="n">
        <v>12</v>
      </c>
      <c r="AK677" t="n">
        <v>14</v>
      </c>
      <c r="AL677" t="n">
        <v>2</v>
      </c>
      <c r="AM677" t="n">
        <v>3</v>
      </c>
      <c r="AN677" t="n">
        <v>0</v>
      </c>
      <c r="AO677" t="n">
        <v>0</v>
      </c>
      <c r="AP677" t="inlineStr">
        <is>
          <t>No</t>
        </is>
      </c>
      <c r="AQ677" t="inlineStr">
        <is>
          <t>No</t>
        </is>
      </c>
      <c r="AS677">
        <f>HYPERLINK("https://creighton-primo.hosted.exlibrisgroup.com/primo-explore/search?tab=default_tab&amp;search_scope=EVERYTHING&amp;vid=01CRU&amp;lang=en_US&amp;offset=0&amp;query=any,contains,991002400759702656","Catalog Record")</f>
        <v/>
      </c>
      <c r="AT677">
        <f>HYPERLINK("http://www.worldcat.org/oclc/31206630","WorldCat Record")</f>
        <v/>
      </c>
      <c r="AU677" t="inlineStr">
        <is>
          <t>2686553:eng</t>
        </is>
      </c>
      <c r="AV677" t="inlineStr">
        <is>
          <t>31206630</t>
        </is>
      </c>
      <c r="AW677" t="inlineStr">
        <is>
          <t>991002400759702656</t>
        </is>
      </c>
      <c r="AX677" t="inlineStr">
        <is>
          <t>991002400759702656</t>
        </is>
      </c>
      <c r="AY677" t="inlineStr">
        <is>
          <t>2258196080002656</t>
        </is>
      </c>
      <c r="AZ677" t="inlineStr">
        <is>
          <t>BOOK</t>
        </is>
      </c>
      <c r="BB677" t="inlineStr">
        <is>
          <t>9780679425793</t>
        </is>
      </c>
      <c r="BC677" t="inlineStr">
        <is>
          <t>32285002054046</t>
        </is>
      </c>
      <c r="BD677" t="inlineStr">
        <is>
          <t>893786086</t>
        </is>
      </c>
    </row>
    <row r="678">
      <c r="A678" t="inlineStr">
        <is>
          <t>No</t>
        </is>
      </c>
      <c r="B678" t="inlineStr">
        <is>
          <t>HV6453.N7 B47 1998</t>
        </is>
      </c>
      <c r="C678" t="inlineStr">
        <is>
          <t>0                      HV 6453000N  7                  B  47          1998</t>
        </is>
      </c>
      <c r="D678" t="inlineStr">
        <is>
          <t>Beyond the mafia : organized crime in the Americas / edited by Sue Mahan with Katherine O'Neil.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Thousand Oaks, Calif. : Sage Publications, c1998.</t>
        </is>
      </c>
      <c r="M678" t="inlineStr">
        <is>
          <t>1998</t>
        </is>
      </c>
      <c r="O678" t="inlineStr">
        <is>
          <t>eng</t>
        </is>
      </c>
      <c r="P678" t="inlineStr">
        <is>
          <t>cau</t>
        </is>
      </c>
      <c r="R678" t="inlineStr">
        <is>
          <t xml:space="preserve">HV </t>
        </is>
      </c>
      <c r="S678" t="n">
        <v>15</v>
      </c>
      <c r="T678" t="n">
        <v>15</v>
      </c>
      <c r="U678" t="inlineStr">
        <is>
          <t>2005-11-04</t>
        </is>
      </c>
      <c r="V678" t="inlineStr">
        <is>
          <t>2005-11-04</t>
        </is>
      </c>
      <c r="W678" t="inlineStr">
        <is>
          <t>1998-08-24</t>
        </is>
      </c>
      <c r="X678" t="inlineStr">
        <is>
          <t>1998-08-24</t>
        </is>
      </c>
      <c r="Y678" t="n">
        <v>346</v>
      </c>
      <c r="Z678" t="n">
        <v>292</v>
      </c>
      <c r="AA678" t="n">
        <v>294</v>
      </c>
      <c r="AB678" t="n">
        <v>2</v>
      </c>
      <c r="AC678" t="n">
        <v>2</v>
      </c>
      <c r="AD678" t="n">
        <v>16</v>
      </c>
      <c r="AE678" t="n">
        <v>16</v>
      </c>
      <c r="AF678" t="n">
        <v>8</v>
      </c>
      <c r="AG678" t="n">
        <v>8</v>
      </c>
      <c r="AH678" t="n">
        <v>4</v>
      </c>
      <c r="AI678" t="n">
        <v>4</v>
      </c>
      <c r="AJ678" t="n">
        <v>9</v>
      </c>
      <c r="AK678" t="n">
        <v>9</v>
      </c>
      <c r="AL678" t="n">
        <v>1</v>
      </c>
      <c r="AM678" t="n">
        <v>1</v>
      </c>
      <c r="AN678" t="n">
        <v>1</v>
      </c>
      <c r="AO678" t="n">
        <v>1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HYPERLINK("http://catalog.hathitrust.org/Record/008316433","HathiTrust Record")</f>
        <v/>
      </c>
      <c r="AS678">
        <f>HYPERLINK("https://creighton-primo.hosted.exlibrisgroup.com/primo-explore/search?tab=default_tab&amp;search_scope=EVERYTHING&amp;vid=01CRU&amp;lang=en_US&amp;offset=0&amp;query=any,contains,991002933349702656","Catalog Record")</f>
        <v/>
      </c>
      <c r="AT678">
        <f>HYPERLINK("http://www.worldcat.org/oclc/39007126","WorldCat Record")</f>
        <v/>
      </c>
      <c r="AU678" t="inlineStr">
        <is>
          <t>796439442:eng</t>
        </is>
      </c>
      <c r="AV678" t="inlineStr">
        <is>
          <t>39007126</t>
        </is>
      </c>
      <c r="AW678" t="inlineStr">
        <is>
          <t>991002933349702656</t>
        </is>
      </c>
      <c r="AX678" t="inlineStr">
        <is>
          <t>991002933349702656</t>
        </is>
      </c>
      <c r="AY678" t="inlineStr">
        <is>
          <t>2267918300002656</t>
        </is>
      </c>
      <c r="AZ678" t="inlineStr">
        <is>
          <t>BOOK</t>
        </is>
      </c>
      <c r="BB678" t="inlineStr">
        <is>
          <t>9780761913580</t>
        </is>
      </c>
      <c r="BC678" t="inlineStr">
        <is>
          <t>32285003461257</t>
        </is>
      </c>
      <c r="BD678" t="inlineStr">
        <is>
          <t>893352604</t>
        </is>
      </c>
    </row>
    <row r="679">
      <c r="A679" t="inlineStr">
        <is>
          <t>No</t>
        </is>
      </c>
      <c r="B679" t="inlineStr">
        <is>
          <t>HV6453.R8 R87 1997</t>
        </is>
      </c>
      <c r="C679" t="inlineStr">
        <is>
          <t>0                      HV 6453000R  8                  R  87          1997</t>
        </is>
      </c>
      <c r="D679" t="inlineStr">
        <is>
          <t>Russian organized crime : the new threat? / edited by Phil Williams.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L679" t="inlineStr">
        <is>
          <t>London ; Portland, Or. : F. Cass, c1997.</t>
        </is>
      </c>
      <c r="M679" t="inlineStr">
        <is>
          <t>1997</t>
        </is>
      </c>
      <c r="O679" t="inlineStr">
        <is>
          <t>eng</t>
        </is>
      </c>
      <c r="P679" t="inlineStr">
        <is>
          <t>enk</t>
        </is>
      </c>
      <c r="R679" t="inlineStr">
        <is>
          <t xml:space="preserve">HV </t>
        </is>
      </c>
      <c r="S679" t="n">
        <v>4</v>
      </c>
      <c r="T679" t="n">
        <v>4</v>
      </c>
      <c r="U679" t="inlineStr">
        <is>
          <t>2009-03-24</t>
        </is>
      </c>
      <c r="V679" t="inlineStr">
        <is>
          <t>2009-03-24</t>
        </is>
      </c>
      <c r="W679" t="inlineStr">
        <is>
          <t>2004-08-16</t>
        </is>
      </c>
      <c r="X679" t="inlineStr">
        <is>
          <t>2004-08-16</t>
        </is>
      </c>
      <c r="Y679" t="n">
        <v>291</v>
      </c>
      <c r="Z679" t="n">
        <v>195</v>
      </c>
      <c r="AA679" t="n">
        <v>223</v>
      </c>
      <c r="AB679" t="n">
        <v>2</v>
      </c>
      <c r="AC679" t="n">
        <v>2</v>
      </c>
      <c r="AD679" t="n">
        <v>12</v>
      </c>
      <c r="AE679" t="n">
        <v>12</v>
      </c>
      <c r="AF679" t="n">
        <v>5</v>
      </c>
      <c r="AG679" t="n">
        <v>5</v>
      </c>
      <c r="AH679" t="n">
        <v>2</v>
      </c>
      <c r="AI679" t="n">
        <v>2</v>
      </c>
      <c r="AJ679" t="n">
        <v>10</v>
      </c>
      <c r="AK679" t="n">
        <v>10</v>
      </c>
      <c r="AL679" t="n">
        <v>1</v>
      </c>
      <c r="AM679" t="n">
        <v>1</v>
      </c>
      <c r="AN679" t="n">
        <v>0</v>
      </c>
      <c r="AO679" t="n">
        <v>0</v>
      </c>
      <c r="AP679" t="inlineStr">
        <is>
          <t>No</t>
        </is>
      </c>
      <c r="AQ679" t="inlineStr">
        <is>
          <t>No</t>
        </is>
      </c>
      <c r="AS679">
        <f>HYPERLINK("https://creighton-primo.hosted.exlibrisgroup.com/primo-explore/search?tab=default_tab&amp;search_scope=EVERYTHING&amp;vid=01CRU&amp;lang=en_US&amp;offset=0&amp;query=any,contains,991004347639702656","Catalog Record")</f>
        <v/>
      </c>
      <c r="AT679">
        <f>HYPERLINK("http://www.worldcat.org/oclc/36178501","WorldCat Record")</f>
        <v/>
      </c>
      <c r="AU679" t="inlineStr">
        <is>
          <t>56176759:eng</t>
        </is>
      </c>
      <c r="AV679" t="inlineStr">
        <is>
          <t>36178501</t>
        </is>
      </c>
      <c r="AW679" t="inlineStr">
        <is>
          <t>991004347639702656</t>
        </is>
      </c>
      <c r="AX679" t="inlineStr">
        <is>
          <t>991004347639702656</t>
        </is>
      </c>
      <c r="AY679" t="inlineStr">
        <is>
          <t>2262875970002656</t>
        </is>
      </c>
      <c r="AZ679" t="inlineStr">
        <is>
          <t>BOOK</t>
        </is>
      </c>
      <c r="BB679" t="inlineStr">
        <is>
          <t>9780714643120</t>
        </is>
      </c>
      <c r="BC679" t="inlineStr">
        <is>
          <t>32285004981535</t>
        </is>
      </c>
      <c r="BD679" t="inlineStr">
        <is>
          <t>893331481</t>
        </is>
      </c>
    </row>
    <row r="680">
      <c r="A680" t="inlineStr">
        <is>
          <t>No</t>
        </is>
      </c>
      <c r="B680" t="inlineStr">
        <is>
          <t>HV6453.R8 V37 2001</t>
        </is>
      </c>
      <c r="C680" t="inlineStr">
        <is>
          <t>0                      HV 6453000R  8                  V  37          2001</t>
        </is>
      </c>
      <c r="D680" t="inlineStr">
        <is>
          <t>The Russian mafia : private protection in a new market economy / Federico Varese.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Varese, Federico.</t>
        </is>
      </c>
      <c r="L680" t="inlineStr">
        <is>
          <t>Oxford, England ; New York : Oxford University Press, 2001.</t>
        </is>
      </c>
      <c r="M680" t="inlineStr">
        <is>
          <t>2001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HV </t>
        </is>
      </c>
      <c r="S680" t="n">
        <v>13</v>
      </c>
      <c r="T680" t="n">
        <v>13</v>
      </c>
      <c r="U680" t="inlineStr">
        <is>
          <t>2009-03-24</t>
        </is>
      </c>
      <c r="V680" t="inlineStr">
        <is>
          <t>2009-03-24</t>
        </is>
      </c>
      <c r="W680" t="inlineStr">
        <is>
          <t>2001-10-30</t>
        </is>
      </c>
      <c r="X680" t="inlineStr">
        <is>
          <t>2001-10-30</t>
        </is>
      </c>
      <c r="Y680" t="n">
        <v>507</v>
      </c>
      <c r="Z680" t="n">
        <v>392</v>
      </c>
      <c r="AA680" t="n">
        <v>636</v>
      </c>
      <c r="AB680" t="n">
        <v>5</v>
      </c>
      <c r="AC680" t="n">
        <v>6</v>
      </c>
      <c r="AD680" t="n">
        <v>19</v>
      </c>
      <c r="AE680" t="n">
        <v>33</v>
      </c>
      <c r="AF680" t="n">
        <v>5</v>
      </c>
      <c r="AG680" t="n">
        <v>10</v>
      </c>
      <c r="AH680" t="n">
        <v>5</v>
      </c>
      <c r="AI680" t="n">
        <v>11</v>
      </c>
      <c r="AJ680" t="n">
        <v>8</v>
      </c>
      <c r="AK680" t="n">
        <v>12</v>
      </c>
      <c r="AL680" t="n">
        <v>4</v>
      </c>
      <c r="AM680" t="n">
        <v>5</v>
      </c>
      <c r="AN680" t="n">
        <v>2</v>
      </c>
      <c r="AO680" t="n">
        <v>3</v>
      </c>
      <c r="AP680" t="inlineStr">
        <is>
          <t>No</t>
        </is>
      </c>
      <c r="AQ680" t="inlineStr">
        <is>
          <t>No</t>
        </is>
      </c>
      <c r="AS680">
        <f>HYPERLINK("https://creighton-primo.hosted.exlibrisgroup.com/primo-explore/search?tab=default_tab&amp;search_scope=EVERYTHING&amp;vid=01CRU&amp;lang=en_US&amp;offset=0&amp;query=any,contains,991003632789702656","Catalog Record")</f>
        <v/>
      </c>
      <c r="AT680">
        <f>HYPERLINK("http://www.worldcat.org/oclc/45715859","WorldCat Record")</f>
        <v/>
      </c>
      <c r="AU680" t="inlineStr">
        <is>
          <t>15832115:eng</t>
        </is>
      </c>
      <c r="AV680" t="inlineStr">
        <is>
          <t>45715859</t>
        </is>
      </c>
      <c r="AW680" t="inlineStr">
        <is>
          <t>991003632789702656</t>
        </is>
      </c>
      <c r="AX680" t="inlineStr">
        <is>
          <t>991003632789702656</t>
        </is>
      </c>
      <c r="AY680" t="inlineStr">
        <is>
          <t>2263203410002656</t>
        </is>
      </c>
      <c r="AZ680" t="inlineStr">
        <is>
          <t>BOOK</t>
        </is>
      </c>
      <c r="BB680" t="inlineStr">
        <is>
          <t>9780198297369</t>
        </is>
      </c>
      <c r="BC680" t="inlineStr">
        <is>
          <t>32285004416763</t>
        </is>
      </c>
      <c r="BD680" t="inlineStr">
        <is>
          <t>893627678</t>
        </is>
      </c>
    </row>
    <row r="681">
      <c r="A681" t="inlineStr">
        <is>
          <t>No</t>
        </is>
      </c>
      <c r="B681" t="inlineStr">
        <is>
          <t>HV6457 .W45 1969</t>
        </is>
      </c>
      <c r="C681" t="inlineStr">
        <is>
          <t>0                      HV 6457000W  45          1969</t>
        </is>
      </c>
      <c r="D681" t="inlineStr">
        <is>
          <t>Rope and faggot.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White, Walter, 1893-1955.</t>
        </is>
      </c>
      <c r="L681" t="inlineStr">
        <is>
          <t>New York, Arno Press, 1969.</t>
        </is>
      </c>
      <c r="M681" t="inlineStr">
        <is>
          <t>1969</t>
        </is>
      </c>
      <c r="O681" t="inlineStr">
        <is>
          <t>eng</t>
        </is>
      </c>
      <c r="P681" t="inlineStr">
        <is>
          <t>nyu</t>
        </is>
      </c>
      <c r="Q681" t="inlineStr">
        <is>
          <t>The American Negro, his history and literature</t>
        </is>
      </c>
      <c r="R681" t="inlineStr">
        <is>
          <t xml:space="preserve">HV </t>
        </is>
      </c>
      <c r="S681" t="n">
        <v>2</v>
      </c>
      <c r="T681" t="n">
        <v>2</v>
      </c>
      <c r="U681" t="inlineStr">
        <is>
          <t>2005-10-30</t>
        </is>
      </c>
      <c r="V681" t="inlineStr">
        <is>
          <t>2005-10-30</t>
        </is>
      </c>
      <c r="W681" t="inlineStr">
        <is>
          <t>1997-08-22</t>
        </is>
      </c>
      <c r="X681" t="inlineStr">
        <is>
          <t>1997-08-22</t>
        </is>
      </c>
      <c r="Y681" t="n">
        <v>561</v>
      </c>
      <c r="Z681" t="n">
        <v>539</v>
      </c>
      <c r="AA681" t="n">
        <v>546</v>
      </c>
      <c r="AB681" t="n">
        <v>4</v>
      </c>
      <c r="AC681" t="n">
        <v>4</v>
      </c>
      <c r="AD681" t="n">
        <v>27</v>
      </c>
      <c r="AE681" t="n">
        <v>27</v>
      </c>
      <c r="AF681" t="n">
        <v>9</v>
      </c>
      <c r="AG681" t="n">
        <v>9</v>
      </c>
      <c r="AH681" t="n">
        <v>4</v>
      </c>
      <c r="AI681" t="n">
        <v>4</v>
      </c>
      <c r="AJ681" t="n">
        <v>13</v>
      </c>
      <c r="AK681" t="n">
        <v>13</v>
      </c>
      <c r="AL681" t="n">
        <v>3</v>
      </c>
      <c r="AM681" t="n">
        <v>3</v>
      </c>
      <c r="AN681" t="n">
        <v>1</v>
      </c>
      <c r="AO681" t="n">
        <v>1</v>
      </c>
      <c r="AP681" t="inlineStr">
        <is>
          <t>Yes</t>
        </is>
      </c>
      <c r="AQ681" t="inlineStr">
        <is>
          <t>Yes</t>
        </is>
      </c>
      <c r="AR681">
        <f>HYPERLINK("http://catalog.hathitrust.org/Record/006750728","HathiTrust Record")</f>
        <v/>
      </c>
      <c r="AS681">
        <f>HYPERLINK("https://creighton-primo.hosted.exlibrisgroup.com/primo-explore/search?tab=default_tab&amp;search_scope=EVERYTHING&amp;vid=01CRU&amp;lang=en_US&amp;offset=0&amp;query=any,contains,991005438539702656","Catalog Record")</f>
        <v/>
      </c>
      <c r="AT681">
        <f>HYPERLINK("http://www.worldcat.org/oclc/6092","WorldCat Record")</f>
        <v/>
      </c>
      <c r="AU681" t="inlineStr">
        <is>
          <t>9657930456:eng</t>
        </is>
      </c>
      <c r="AV681" t="inlineStr">
        <is>
          <t>6092</t>
        </is>
      </c>
      <c r="AW681" t="inlineStr">
        <is>
          <t>991005438539702656</t>
        </is>
      </c>
      <c r="AX681" t="inlineStr">
        <is>
          <t>991005438539702656</t>
        </is>
      </c>
      <c r="AY681" t="inlineStr">
        <is>
          <t>2265143440002656</t>
        </is>
      </c>
      <c r="AZ681" t="inlineStr">
        <is>
          <t>BOOK</t>
        </is>
      </c>
      <c r="BC681" t="inlineStr">
        <is>
          <t>32285003158267</t>
        </is>
      </c>
      <c r="BD681" t="inlineStr">
        <is>
          <t>893332979</t>
        </is>
      </c>
    </row>
    <row r="682">
      <c r="A682" t="inlineStr">
        <is>
          <t>No</t>
        </is>
      </c>
      <c r="B682" t="inlineStr">
        <is>
          <t>HV6459 .G7</t>
        </is>
      </c>
      <c r="C682" t="inlineStr">
        <is>
          <t>0                      HV 6459000G  7</t>
        </is>
      </c>
      <c r="D682" t="inlineStr">
        <is>
          <t>The anti-lynching movement, 1883-1932 / by Donald L. Grant.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Grant, Donald L. (Donald Lee), 1919-1988.</t>
        </is>
      </c>
      <c r="L682" t="inlineStr">
        <is>
          <t>San Francisco : R and E Research Associates, 1975.</t>
        </is>
      </c>
      <c r="M682" t="inlineStr">
        <is>
          <t>1975</t>
        </is>
      </c>
      <c r="O682" t="inlineStr">
        <is>
          <t>eng</t>
        </is>
      </c>
      <c r="P682" t="inlineStr">
        <is>
          <t>cau</t>
        </is>
      </c>
      <c r="R682" t="inlineStr">
        <is>
          <t xml:space="preserve">HV </t>
        </is>
      </c>
      <c r="S682" t="n">
        <v>5</v>
      </c>
      <c r="T682" t="n">
        <v>5</v>
      </c>
      <c r="U682" t="inlineStr">
        <is>
          <t>2009-04-24</t>
        </is>
      </c>
      <c r="V682" t="inlineStr">
        <is>
          <t>2009-04-24</t>
        </is>
      </c>
      <c r="W682" t="inlineStr">
        <is>
          <t>1992-11-23</t>
        </is>
      </c>
      <c r="X682" t="inlineStr">
        <is>
          <t>1992-11-23</t>
        </is>
      </c>
      <c r="Y682" t="n">
        <v>343</v>
      </c>
      <c r="Z682" t="n">
        <v>324</v>
      </c>
      <c r="AA682" t="n">
        <v>325</v>
      </c>
      <c r="AB682" t="n">
        <v>3</v>
      </c>
      <c r="AC682" t="n">
        <v>3</v>
      </c>
      <c r="AD682" t="n">
        <v>13</v>
      </c>
      <c r="AE682" t="n">
        <v>13</v>
      </c>
      <c r="AF682" t="n">
        <v>2</v>
      </c>
      <c r="AG682" t="n">
        <v>2</v>
      </c>
      <c r="AH682" t="n">
        <v>5</v>
      </c>
      <c r="AI682" t="n">
        <v>5</v>
      </c>
      <c r="AJ682" t="n">
        <v>4</v>
      </c>
      <c r="AK682" t="n">
        <v>4</v>
      </c>
      <c r="AL682" t="n">
        <v>2</v>
      </c>
      <c r="AM682" t="n">
        <v>2</v>
      </c>
      <c r="AN682" t="n">
        <v>2</v>
      </c>
      <c r="AO682" t="n">
        <v>2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HYPERLINK("https://creighton-primo.hosted.exlibrisgroup.com/primo-explore/search?tab=default_tab&amp;search_scope=EVERYTHING&amp;vid=01CRU&amp;lang=en_US&amp;offset=0&amp;query=any,contains,991004050679702656","Catalog Record")</f>
        <v/>
      </c>
      <c r="AT682">
        <f>HYPERLINK("http://www.worldcat.org/oclc/2212761","WorldCat Record")</f>
        <v/>
      </c>
      <c r="AU682" t="inlineStr">
        <is>
          <t>3974116:eng</t>
        </is>
      </c>
      <c r="AV682" t="inlineStr">
        <is>
          <t>2212761</t>
        </is>
      </c>
      <c r="AW682" t="inlineStr">
        <is>
          <t>991004050679702656</t>
        </is>
      </c>
      <c r="AX682" t="inlineStr">
        <is>
          <t>991004050679702656</t>
        </is>
      </c>
      <c r="AY682" t="inlineStr">
        <is>
          <t>2255584190002656</t>
        </is>
      </c>
      <c r="AZ682" t="inlineStr">
        <is>
          <t>BOOK</t>
        </is>
      </c>
      <c r="BB682" t="inlineStr">
        <is>
          <t>9780882473482</t>
        </is>
      </c>
      <c r="BC682" t="inlineStr">
        <is>
          <t>32285001408193</t>
        </is>
      </c>
      <c r="BD682" t="inlineStr">
        <is>
          <t>893411053</t>
        </is>
      </c>
    </row>
    <row r="683">
      <c r="A683" t="inlineStr">
        <is>
          <t>No</t>
        </is>
      </c>
      <c r="B683" t="inlineStr">
        <is>
          <t>HV6471.G9 G63 2006</t>
        </is>
      </c>
      <c r="C683" t="inlineStr">
        <is>
          <t>0                      HV 6471000G  9                  G  63          2006</t>
        </is>
      </c>
      <c r="D683" t="inlineStr">
        <is>
          <t>Popular injustice : violence, community, and law in Latin America / Angelina Snodgrass Godoy.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Godoy, Angelina Snodgrass.</t>
        </is>
      </c>
      <c r="L683" t="inlineStr">
        <is>
          <t>Stanford, Calif. : Stanford University Press, 2006.</t>
        </is>
      </c>
      <c r="M683" t="inlineStr">
        <is>
          <t>2006</t>
        </is>
      </c>
      <c r="O683" t="inlineStr">
        <is>
          <t>eng</t>
        </is>
      </c>
      <c r="P683" t="inlineStr">
        <is>
          <t>cau</t>
        </is>
      </c>
      <c r="R683" t="inlineStr">
        <is>
          <t xml:space="preserve">HV </t>
        </is>
      </c>
      <c r="S683" t="n">
        <v>2</v>
      </c>
      <c r="T683" t="n">
        <v>2</v>
      </c>
      <c r="U683" t="inlineStr">
        <is>
          <t>2006-11-13</t>
        </is>
      </c>
      <c r="V683" t="inlineStr">
        <is>
          <t>2006-11-13</t>
        </is>
      </c>
      <c r="W683" t="inlineStr">
        <is>
          <t>2006-11-13</t>
        </is>
      </c>
      <c r="X683" t="inlineStr">
        <is>
          <t>2006-11-13</t>
        </is>
      </c>
      <c r="Y683" t="n">
        <v>406</v>
      </c>
      <c r="Z683" t="n">
        <v>339</v>
      </c>
      <c r="AA683" t="n">
        <v>345</v>
      </c>
      <c r="AB683" t="n">
        <v>2</v>
      </c>
      <c r="AC683" t="n">
        <v>2</v>
      </c>
      <c r="AD683" t="n">
        <v>21</v>
      </c>
      <c r="AE683" t="n">
        <v>21</v>
      </c>
      <c r="AF683" t="n">
        <v>8</v>
      </c>
      <c r="AG683" t="n">
        <v>8</v>
      </c>
      <c r="AH683" t="n">
        <v>5</v>
      </c>
      <c r="AI683" t="n">
        <v>5</v>
      </c>
      <c r="AJ683" t="n">
        <v>7</v>
      </c>
      <c r="AK683" t="n">
        <v>7</v>
      </c>
      <c r="AL683" t="n">
        <v>1</v>
      </c>
      <c r="AM683" t="n">
        <v>1</v>
      </c>
      <c r="AN683" t="n">
        <v>6</v>
      </c>
      <c r="AO683" t="n">
        <v>6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HYPERLINK("https://creighton-primo.hosted.exlibrisgroup.com/primo-explore/search?tab=default_tab&amp;search_scope=EVERYTHING&amp;vid=01CRU&amp;lang=en_US&amp;offset=0&amp;query=any,contains,991004958059702656","Catalog Record")</f>
        <v/>
      </c>
      <c r="AT683">
        <f>HYPERLINK("http://www.worldcat.org/oclc/61758575","WorldCat Record")</f>
        <v/>
      </c>
      <c r="AU683" t="inlineStr">
        <is>
          <t>219131419:eng</t>
        </is>
      </c>
      <c r="AV683" t="inlineStr">
        <is>
          <t>61758575</t>
        </is>
      </c>
      <c r="AW683" t="inlineStr">
        <is>
          <t>991004958059702656</t>
        </is>
      </c>
      <c r="AX683" t="inlineStr">
        <is>
          <t>991004958059702656</t>
        </is>
      </c>
      <c r="AY683" t="inlineStr">
        <is>
          <t>2271846450002656</t>
        </is>
      </c>
      <c r="AZ683" t="inlineStr">
        <is>
          <t>BOOK</t>
        </is>
      </c>
      <c r="BB683" t="inlineStr">
        <is>
          <t>9780804753487</t>
        </is>
      </c>
      <c r="BC683" t="inlineStr">
        <is>
          <t>32285005238901</t>
        </is>
      </c>
      <c r="BD683" t="inlineStr">
        <is>
          <t>893526700</t>
        </is>
      </c>
    </row>
    <row r="684">
      <c r="A684" t="inlineStr">
        <is>
          <t>No</t>
        </is>
      </c>
      <c r="B684" t="inlineStr">
        <is>
          <t>HV6477 .U68 1984</t>
        </is>
      </c>
      <c r="C684" t="inlineStr">
        <is>
          <t>0                      HV 6477000U  68          1984</t>
        </is>
      </c>
      <c r="D684" t="inlineStr">
        <is>
          <t>A social history of 20th century urban riots / James N. Upton ; forward by William E. Nelson, Jr. ; preface by Randell B. Ripley.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Upton, James N.</t>
        </is>
      </c>
      <c r="L684" t="inlineStr">
        <is>
          <t>Bristol, IN : Wyndam Hall Press, c1984.</t>
        </is>
      </c>
      <c r="M684" t="inlineStr">
        <is>
          <t>1984</t>
        </is>
      </c>
      <c r="O684" t="inlineStr">
        <is>
          <t>eng</t>
        </is>
      </c>
      <c r="P684" t="inlineStr">
        <is>
          <t>inu</t>
        </is>
      </c>
      <c r="Q684" t="inlineStr">
        <is>
          <t>Anthroscience minigraph series</t>
        </is>
      </c>
      <c r="R684" t="inlineStr">
        <is>
          <t xml:space="preserve">HV </t>
        </is>
      </c>
      <c r="S684" t="n">
        <v>16</v>
      </c>
      <c r="T684" t="n">
        <v>16</v>
      </c>
      <c r="U684" t="inlineStr">
        <is>
          <t>1997-04-01</t>
        </is>
      </c>
      <c r="V684" t="inlineStr">
        <is>
          <t>1997-04-01</t>
        </is>
      </c>
      <c r="W684" t="inlineStr">
        <is>
          <t>1990-02-22</t>
        </is>
      </c>
      <c r="X684" t="inlineStr">
        <is>
          <t>1990-02-22</t>
        </is>
      </c>
      <c r="Y684" t="n">
        <v>128</v>
      </c>
      <c r="Z684" t="n">
        <v>126</v>
      </c>
      <c r="AA684" t="n">
        <v>128</v>
      </c>
      <c r="AB684" t="n">
        <v>1</v>
      </c>
      <c r="AC684" t="n">
        <v>1</v>
      </c>
      <c r="AD684" t="n">
        <v>8</v>
      </c>
      <c r="AE684" t="n">
        <v>8</v>
      </c>
      <c r="AF684" t="n">
        <v>2</v>
      </c>
      <c r="AG684" t="n">
        <v>2</v>
      </c>
      <c r="AH684" t="n">
        <v>3</v>
      </c>
      <c r="AI684" t="n">
        <v>3</v>
      </c>
      <c r="AJ684" t="n">
        <v>6</v>
      </c>
      <c r="AK684" t="n">
        <v>6</v>
      </c>
      <c r="AL684" t="n">
        <v>0</v>
      </c>
      <c r="AM684" t="n">
        <v>0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HYPERLINK("http://catalog.hathitrust.org/Record/000492570","HathiTrust Record")</f>
        <v/>
      </c>
      <c r="AS684">
        <f>HYPERLINK("https://creighton-primo.hosted.exlibrisgroup.com/primo-explore/search?tab=default_tab&amp;search_scope=EVERYTHING&amp;vid=01CRU&amp;lang=en_US&amp;offset=0&amp;query=any,contains,991000599819702656","Catalog Record")</f>
        <v/>
      </c>
      <c r="AT684">
        <f>HYPERLINK("http://www.worldcat.org/oclc/13313084","WorldCat Record")</f>
        <v/>
      </c>
      <c r="AU684" t="inlineStr">
        <is>
          <t>4637551:eng</t>
        </is>
      </c>
      <c r="AV684" t="inlineStr">
        <is>
          <t>13313084</t>
        </is>
      </c>
      <c r="AW684" t="inlineStr">
        <is>
          <t>991000599819702656</t>
        </is>
      </c>
      <c r="AX684" t="inlineStr">
        <is>
          <t>991000599819702656</t>
        </is>
      </c>
      <c r="AY684" t="inlineStr">
        <is>
          <t>2267171450002656</t>
        </is>
      </c>
      <c r="AZ684" t="inlineStr">
        <is>
          <t>BOOK</t>
        </is>
      </c>
      <c r="BB684" t="inlineStr">
        <is>
          <t>9780932269201</t>
        </is>
      </c>
      <c r="BC684" t="inlineStr">
        <is>
          <t>32285000058999</t>
        </is>
      </c>
      <c r="BD684" t="inlineStr">
        <is>
          <t>893778060</t>
        </is>
      </c>
    </row>
    <row r="685">
      <c r="A685" t="inlineStr">
        <is>
          <t>No</t>
        </is>
      </c>
      <c r="B685" t="inlineStr">
        <is>
          <t>HV6489.C2 Q44 2005</t>
        </is>
      </c>
      <c r="C685" t="inlineStr">
        <is>
          <t>0                      HV 6489000C  2                  Q  44          2005</t>
        </is>
      </c>
      <c r="D685" t="inlineStr">
        <is>
          <t>Under and alone : the true story of the undercover agent who infiltrated America's most violent outlaw motorcycle gang / William Queen.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Queen, William.</t>
        </is>
      </c>
      <c r="L685" t="inlineStr">
        <is>
          <t>New York : Random House, c2005.</t>
        </is>
      </c>
      <c r="M685" t="inlineStr">
        <is>
          <t>2005</t>
        </is>
      </c>
      <c r="O685" t="inlineStr">
        <is>
          <t>eng</t>
        </is>
      </c>
      <c r="P685" t="inlineStr">
        <is>
          <t>nyu</t>
        </is>
      </c>
      <c r="R685" t="inlineStr">
        <is>
          <t xml:space="preserve">HV </t>
        </is>
      </c>
      <c r="S685" t="n">
        <v>2</v>
      </c>
      <c r="T685" t="n">
        <v>2</v>
      </c>
      <c r="U685" t="inlineStr">
        <is>
          <t>2009-04-01</t>
        </is>
      </c>
      <c r="V685" t="inlineStr">
        <is>
          <t>2009-04-01</t>
        </is>
      </c>
      <c r="W685" t="inlineStr">
        <is>
          <t>2005-05-03</t>
        </is>
      </c>
      <c r="X685" t="inlineStr">
        <is>
          <t>2005-05-03</t>
        </is>
      </c>
      <c r="Y685" t="n">
        <v>1272</v>
      </c>
      <c r="Z685" t="n">
        <v>1235</v>
      </c>
      <c r="AA685" t="n">
        <v>1422</v>
      </c>
      <c r="AB685" t="n">
        <v>12</v>
      </c>
      <c r="AC685" t="n">
        <v>14</v>
      </c>
      <c r="AD685" t="n">
        <v>4</v>
      </c>
      <c r="AE685" t="n">
        <v>7</v>
      </c>
      <c r="AF685" t="n">
        <v>1</v>
      </c>
      <c r="AG685" t="n">
        <v>3</v>
      </c>
      <c r="AH685" t="n">
        <v>0</v>
      </c>
      <c r="AI685" t="n">
        <v>0</v>
      </c>
      <c r="AJ685" t="n">
        <v>2</v>
      </c>
      <c r="AK685" t="n">
        <v>2</v>
      </c>
      <c r="AL685" t="n">
        <v>1</v>
      </c>
      <c r="AM685" t="n">
        <v>2</v>
      </c>
      <c r="AN685" t="n">
        <v>0</v>
      </c>
      <c r="AO685" t="n">
        <v>0</v>
      </c>
      <c r="AP685" t="inlineStr">
        <is>
          <t>No</t>
        </is>
      </c>
      <c r="AQ685" t="inlineStr">
        <is>
          <t>No</t>
        </is>
      </c>
      <c r="AS685">
        <f>HYPERLINK("https://creighton-primo.hosted.exlibrisgroup.com/primo-explore/search?tab=default_tab&amp;search_scope=EVERYTHING&amp;vid=01CRU&amp;lang=en_US&amp;offset=0&amp;query=any,contains,991004531219702656","Catalog Record")</f>
        <v/>
      </c>
      <c r="AT685">
        <f>HYPERLINK("http://www.worldcat.org/oclc/56085716","WorldCat Record")</f>
        <v/>
      </c>
      <c r="AU685" t="inlineStr">
        <is>
          <t>934881:eng</t>
        </is>
      </c>
      <c r="AV685" t="inlineStr">
        <is>
          <t>56085716</t>
        </is>
      </c>
      <c r="AW685" t="inlineStr">
        <is>
          <t>991004531219702656</t>
        </is>
      </c>
      <c r="AX685" t="inlineStr">
        <is>
          <t>991004531219702656</t>
        </is>
      </c>
      <c r="AY685" t="inlineStr">
        <is>
          <t>2266561460002656</t>
        </is>
      </c>
      <c r="AZ685" t="inlineStr">
        <is>
          <t>BOOK</t>
        </is>
      </c>
      <c r="BB685" t="inlineStr">
        <is>
          <t>9781400060849</t>
        </is>
      </c>
      <c r="BC685" t="inlineStr">
        <is>
          <t>32285005035067</t>
        </is>
      </c>
      <c r="BD685" t="inlineStr">
        <is>
          <t>893782344</t>
        </is>
      </c>
    </row>
    <row r="686">
      <c r="A686" t="inlineStr">
        <is>
          <t>No</t>
        </is>
      </c>
      <c r="B686" t="inlineStr">
        <is>
          <t>HV6493 .S3</t>
        </is>
      </c>
      <c r="C686" t="inlineStr">
        <is>
          <t>0                      HV 6493000S  3</t>
        </is>
      </c>
      <c r="D686" t="inlineStr">
        <is>
          <t>Crimes without victims; deviant behavior and public policy: abortion, homosexuality, drug addiction [by] Edwin M. Schur.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Schur, Edwin M.</t>
        </is>
      </c>
      <c r="L686" t="inlineStr">
        <is>
          <t>Englewood Cliffs, N.J., Prentice-Hall [1965]</t>
        </is>
      </c>
      <c r="M686" t="inlineStr">
        <is>
          <t>1965</t>
        </is>
      </c>
      <c r="O686" t="inlineStr">
        <is>
          <t>eng</t>
        </is>
      </c>
      <c r="P686" t="inlineStr">
        <is>
          <t>nju</t>
        </is>
      </c>
      <c r="Q686" t="inlineStr">
        <is>
          <t>A Spectrum book, S-111</t>
        </is>
      </c>
      <c r="R686" t="inlineStr">
        <is>
          <t xml:space="preserve">HV </t>
        </is>
      </c>
      <c r="S686" t="n">
        <v>3</v>
      </c>
      <c r="T686" t="n">
        <v>3</v>
      </c>
      <c r="U686" t="inlineStr">
        <is>
          <t>2005-12-12</t>
        </is>
      </c>
      <c r="V686" t="inlineStr">
        <is>
          <t>2005-12-12</t>
        </is>
      </c>
      <c r="W686" t="inlineStr">
        <is>
          <t>1997-08-22</t>
        </is>
      </c>
      <c r="X686" t="inlineStr">
        <is>
          <t>1997-08-22</t>
        </is>
      </c>
      <c r="Y686" t="n">
        <v>1200</v>
      </c>
      <c r="Z686" t="n">
        <v>1012</v>
      </c>
      <c r="AA686" t="n">
        <v>1020</v>
      </c>
      <c r="AB686" t="n">
        <v>13</v>
      </c>
      <c r="AC686" t="n">
        <v>13</v>
      </c>
      <c r="AD686" t="n">
        <v>45</v>
      </c>
      <c r="AE686" t="n">
        <v>45</v>
      </c>
      <c r="AF686" t="n">
        <v>16</v>
      </c>
      <c r="AG686" t="n">
        <v>16</v>
      </c>
      <c r="AH686" t="n">
        <v>7</v>
      </c>
      <c r="AI686" t="n">
        <v>7</v>
      </c>
      <c r="AJ686" t="n">
        <v>17</v>
      </c>
      <c r="AK686" t="n">
        <v>17</v>
      </c>
      <c r="AL686" t="n">
        <v>8</v>
      </c>
      <c r="AM686" t="n">
        <v>8</v>
      </c>
      <c r="AN686" t="n">
        <v>6</v>
      </c>
      <c r="AO686" t="n">
        <v>6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HYPERLINK("http://catalog.hathitrust.org/Record/001134336","HathiTrust Record")</f>
        <v/>
      </c>
      <c r="AS686">
        <f>HYPERLINK("https://creighton-primo.hosted.exlibrisgroup.com/primo-explore/search?tab=default_tab&amp;search_scope=EVERYTHING&amp;vid=01CRU&amp;lang=en_US&amp;offset=0&amp;query=any,contains,991002084579702656","Catalog Record")</f>
        <v/>
      </c>
      <c r="AT686">
        <f>HYPERLINK("http://www.worldcat.org/oclc/265058","WorldCat Record")</f>
        <v/>
      </c>
      <c r="AU686" t="inlineStr">
        <is>
          <t>869770012:eng</t>
        </is>
      </c>
      <c r="AV686" t="inlineStr">
        <is>
          <t>265058</t>
        </is>
      </c>
      <c r="AW686" t="inlineStr">
        <is>
          <t>991002084579702656</t>
        </is>
      </c>
      <c r="AX686" t="inlineStr">
        <is>
          <t>991002084579702656</t>
        </is>
      </c>
      <c r="AY686" t="inlineStr">
        <is>
          <t>2265238010002656</t>
        </is>
      </c>
      <c r="AZ686" t="inlineStr">
        <is>
          <t>BOOK</t>
        </is>
      </c>
      <c r="BC686" t="inlineStr">
        <is>
          <t>32285003158283</t>
        </is>
      </c>
      <c r="BD686" t="inlineStr">
        <is>
          <t>893523176</t>
        </is>
      </c>
    </row>
    <row r="687">
      <c r="A687" t="inlineStr">
        <is>
          <t>No</t>
        </is>
      </c>
      <c r="B687" t="inlineStr">
        <is>
          <t>HV6493 .W4</t>
        </is>
      </c>
      <c r="C687" t="inlineStr">
        <is>
          <t>0                      HV 6493000W  4</t>
        </is>
      </c>
      <c r="D687" t="inlineStr">
        <is>
          <t>A sign for Cain; an exploration of human violence.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Wertham, Fredric, 1895-1981.</t>
        </is>
      </c>
      <c r="L687" t="inlineStr">
        <is>
          <t>New York, Macmillan [1966]</t>
        </is>
      </c>
      <c r="M687" t="inlineStr">
        <is>
          <t>1966</t>
        </is>
      </c>
      <c r="O687" t="inlineStr">
        <is>
          <t>eng</t>
        </is>
      </c>
      <c r="P687" t="inlineStr">
        <is>
          <t>nyu</t>
        </is>
      </c>
      <c r="R687" t="inlineStr">
        <is>
          <t xml:space="preserve">HV </t>
        </is>
      </c>
      <c r="S687" t="n">
        <v>6</v>
      </c>
      <c r="T687" t="n">
        <v>6</v>
      </c>
      <c r="U687" t="inlineStr">
        <is>
          <t>2006-03-15</t>
        </is>
      </c>
      <c r="V687" t="inlineStr">
        <is>
          <t>2006-03-15</t>
        </is>
      </c>
      <c r="W687" t="inlineStr">
        <is>
          <t>1997-08-22</t>
        </is>
      </c>
      <c r="X687" t="inlineStr">
        <is>
          <t>1997-08-22</t>
        </is>
      </c>
      <c r="Y687" t="n">
        <v>737</v>
      </c>
      <c r="Z687" t="n">
        <v>665</v>
      </c>
      <c r="AA687" t="n">
        <v>755</v>
      </c>
      <c r="AB687" t="n">
        <v>4</v>
      </c>
      <c r="AC687" t="n">
        <v>4</v>
      </c>
      <c r="AD687" t="n">
        <v>28</v>
      </c>
      <c r="AE687" t="n">
        <v>33</v>
      </c>
      <c r="AF687" t="n">
        <v>8</v>
      </c>
      <c r="AG687" t="n">
        <v>9</v>
      </c>
      <c r="AH687" t="n">
        <v>5</v>
      </c>
      <c r="AI687" t="n">
        <v>8</v>
      </c>
      <c r="AJ687" t="n">
        <v>16</v>
      </c>
      <c r="AK687" t="n">
        <v>19</v>
      </c>
      <c r="AL687" t="n">
        <v>3</v>
      </c>
      <c r="AM687" t="n">
        <v>3</v>
      </c>
      <c r="AN687" t="n">
        <v>2</v>
      </c>
      <c r="AO687" t="n">
        <v>2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HYPERLINK("http://catalog.hathitrust.org/Record/001134338","HathiTrust Record")</f>
        <v/>
      </c>
      <c r="AS687">
        <f>HYPERLINK("https://creighton-primo.hosted.exlibrisgroup.com/primo-explore/search?tab=default_tab&amp;search_scope=EVERYTHING&amp;vid=01CRU&amp;lang=en_US&amp;offset=0&amp;query=any,contains,991002573959702656","Catalog Record")</f>
        <v/>
      </c>
      <c r="AT687">
        <f>HYPERLINK("http://www.worldcat.org/oclc/374471","WorldCat Record")</f>
        <v/>
      </c>
      <c r="AU687" t="inlineStr">
        <is>
          <t>1151011762:eng</t>
        </is>
      </c>
      <c r="AV687" t="inlineStr">
        <is>
          <t>374471</t>
        </is>
      </c>
      <c r="AW687" t="inlineStr">
        <is>
          <t>991002573959702656</t>
        </is>
      </c>
      <c r="AX687" t="inlineStr">
        <is>
          <t>991002573959702656</t>
        </is>
      </c>
      <c r="AY687" t="inlineStr">
        <is>
          <t>2262406220002656</t>
        </is>
      </c>
      <c r="AZ687" t="inlineStr">
        <is>
          <t>BOOK</t>
        </is>
      </c>
      <c r="BC687" t="inlineStr">
        <is>
          <t>32285003158291</t>
        </is>
      </c>
      <c r="BD687" t="inlineStr">
        <is>
          <t>893323103</t>
        </is>
      </c>
    </row>
    <row r="688">
      <c r="A688" t="inlineStr">
        <is>
          <t>No</t>
        </is>
      </c>
      <c r="B688" t="inlineStr">
        <is>
          <t>HV6515 .W4</t>
        </is>
      </c>
      <c r="C688" t="inlineStr">
        <is>
          <t>0                      HV 6515000W  4</t>
        </is>
      </c>
      <c r="D688" t="inlineStr">
        <is>
          <t>The show of violence.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Wertham, Fredric, 1895-1981.</t>
        </is>
      </c>
      <c r="L688" t="inlineStr">
        <is>
          <t>Garden City, N. Y. Doubleday, 1949.</t>
        </is>
      </c>
      <c r="M688" t="inlineStr">
        <is>
          <t>1949</t>
        </is>
      </c>
      <c r="N688" t="inlineStr">
        <is>
          <t>[1st ed.]</t>
        </is>
      </c>
      <c r="O688" t="inlineStr">
        <is>
          <t>eng</t>
        </is>
      </c>
      <c r="P688" t="inlineStr">
        <is>
          <t xml:space="preserve">xx </t>
        </is>
      </c>
      <c r="R688" t="inlineStr">
        <is>
          <t xml:space="preserve">HV </t>
        </is>
      </c>
      <c r="S688" t="n">
        <v>4</v>
      </c>
      <c r="T688" t="n">
        <v>4</v>
      </c>
      <c r="U688" t="inlineStr">
        <is>
          <t>2006-04-12</t>
        </is>
      </c>
      <c r="V688" t="inlineStr">
        <is>
          <t>2006-04-12</t>
        </is>
      </c>
      <c r="W688" t="inlineStr">
        <is>
          <t>1997-08-22</t>
        </is>
      </c>
      <c r="X688" t="inlineStr">
        <is>
          <t>1997-08-22</t>
        </is>
      </c>
      <c r="Y688" t="n">
        <v>459</v>
      </c>
      <c r="Z688" t="n">
        <v>415</v>
      </c>
      <c r="AA688" t="n">
        <v>597</v>
      </c>
      <c r="AB688" t="n">
        <v>3</v>
      </c>
      <c r="AC688" t="n">
        <v>4</v>
      </c>
      <c r="AD688" t="n">
        <v>21</v>
      </c>
      <c r="AE688" t="n">
        <v>29</v>
      </c>
      <c r="AF688" t="n">
        <v>6</v>
      </c>
      <c r="AG688" t="n">
        <v>7</v>
      </c>
      <c r="AH688" t="n">
        <v>5</v>
      </c>
      <c r="AI688" t="n">
        <v>6</v>
      </c>
      <c r="AJ688" t="n">
        <v>7</v>
      </c>
      <c r="AK688" t="n">
        <v>11</v>
      </c>
      <c r="AL688" t="n">
        <v>1</v>
      </c>
      <c r="AM688" t="n">
        <v>2</v>
      </c>
      <c r="AN688" t="n">
        <v>7</v>
      </c>
      <c r="AO688" t="n">
        <v>9</v>
      </c>
      <c r="AP688" t="inlineStr">
        <is>
          <t>No</t>
        </is>
      </c>
      <c r="AQ688" t="inlineStr">
        <is>
          <t>No</t>
        </is>
      </c>
      <c r="AR688">
        <f>HYPERLINK("http://catalog.hathitrust.org/Record/000228901","HathiTrust Record")</f>
        <v/>
      </c>
      <c r="AS688">
        <f>HYPERLINK("https://creighton-primo.hosted.exlibrisgroup.com/primo-explore/search?tab=default_tab&amp;search_scope=EVERYTHING&amp;vid=01CRU&amp;lang=en_US&amp;offset=0&amp;query=any,contains,991002575419702656","Catalog Record")</f>
        <v/>
      </c>
      <c r="AT688">
        <f>HYPERLINK("http://www.worldcat.org/oclc/374723","WorldCat Record")</f>
        <v/>
      </c>
      <c r="AU688" t="inlineStr">
        <is>
          <t>1135104:eng</t>
        </is>
      </c>
      <c r="AV688" t="inlineStr">
        <is>
          <t>374723</t>
        </is>
      </c>
      <c r="AW688" t="inlineStr">
        <is>
          <t>991002575419702656</t>
        </is>
      </c>
      <c r="AX688" t="inlineStr">
        <is>
          <t>991002575419702656</t>
        </is>
      </c>
      <c r="AY688" t="inlineStr">
        <is>
          <t>2262267750002656</t>
        </is>
      </c>
      <c r="AZ688" t="inlineStr">
        <is>
          <t>BOOK</t>
        </is>
      </c>
      <c r="BC688" t="inlineStr">
        <is>
          <t>32285003158309</t>
        </is>
      </c>
      <c r="BD688" t="inlineStr">
        <is>
          <t>893716629</t>
        </is>
      </c>
    </row>
    <row r="689">
      <c r="A689" t="inlineStr">
        <is>
          <t>No</t>
        </is>
      </c>
      <c r="B689" t="inlineStr">
        <is>
          <t>HV6529 .L86 1976</t>
        </is>
      </c>
      <c r="C689" t="inlineStr">
        <is>
          <t>0                      HV 6529000L  86          1976</t>
        </is>
      </c>
      <c r="D689" t="inlineStr">
        <is>
          <t>Murder and madness / Donald T. Lunde.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Lunde, Donald T.</t>
        </is>
      </c>
      <c r="L689" t="inlineStr">
        <is>
          <t>San Francisco : San Francisco Book Co., 1976.</t>
        </is>
      </c>
      <c r="M689" t="inlineStr">
        <is>
          <t>1976</t>
        </is>
      </c>
      <c r="O689" t="inlineStr">
        <is>
          <t>eng</t>
        </is>
      </c>
      <c r="P689" t="inlineStr">
        <is>
          <t>cau</t>
        </is>
      </c>
      <c r="Q689" t="inlineStr">
        <is>
          <t>The Portable Stanford series</t>
        </is>
      </c>
      <c r="R689" t="inlineStr">
        <is>
          <t xml:space="preserve">HV </t>
        </is>
      </c>
      <c r="S689" t="n">
        <v>15</v>
      </c>
      <c r="T689" t="n">
        <v>15</v>
      </c>
      <c r="U689" t="inlineStr">
        <is>
          <t>2002-09-16</t>
        </is>
      </c>
      <c r="V689" t="inlineStr">
        <is>
          <t>2002-09-16</t>
        </is>
      </c>
      <c r="W689" t="inlineStr">
        <is>
          <t>1992-04-02</t>
        </is>
      </c>
      <c r="X689" t="inlineStr">
        <is>
          <t>1992-04-02</t>
        </is>
      </c>
      <c r="Y689" t="n">
        <v>449</v>
      </c>
      <c r="Z689" t="n">
        <v>423</v>
      </c>
      <c r="AA689" t="n">
        <v>643</v>
      </c>
      <c r="AB689" t="n">
        <v>6</v>
      </c>
      <c r="AC689" t="n">
        <v>7</v>
      </c>
      <c r="AD689" t="n">
        <v>17</v>
      </c>
      <c r="AE689" t="n">
        <v>31</v>
      </c>
      <c r="AF689" t="n">
        <v>4</v>
      </c>
      <c r="AG689" t="n">
        <v>7</v>
      </c>
      <c r="AH689" t="n">
        <v>4</v>
      </c>
      <c r="AI689" t="n">
        <v>4</v>
      </c>
      <c r="AJ689" t="n">
        <v>9</v>
      </c>
      <c r="AK689" t="n">
        <v>12</v>
      </c>
      <c r="AL689" t="n">
        <v>3</v>
      </c>
      <c r="AM689" t="n">
        <v>4</v>
      </c>
      <c r="AN689" t="n">
        <v>0</v>
      </c>
      <c r="AO689" t="n">
        <v>8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HYPERLINK("https://creighton-primo.hosted.exlibrisgroup.com/primo-explore/search?tab=default_tab&amp;search_scope=EVERYTHING&amp;vid=01CRU&amp;lang=en_US&amp;offset=0&amp;query=any,contains,991003969559702656","Catalog Record")</f>
        <v/>
      </c>
      <c r="AT689">
        <f>HYPERLINK("http://www.worldcat.org/oclc/1991309","WorldCat Record")</f>
        <v/>
      </c>
      <c r="AU689" t="inlineStr">
        <is>
          <t>558282:eng</t>
        </is>
      </c>
      <c r="AV689" t="inlineStr">
        <is>
          <t>1991309</t>
        </is>
      </c>
      <c r="AW689" t="inlineStr">
        <is>
          <t>991003969559702656</t>
        </is>
      </c>
      <c r="AX689" t="inlineStr">
        <is>
          <t>991003969559702656</t>
        </is>
      </c>
      <c r="AY689" t="inlineStr">
        <is>
          <t>2263933710002656</t>
        </is>
      </c>
      <c r="AZ689" t="inlineStr">
        <is>
          <t>BOOK</t>
        </is>
      </c>
      <c r="BB689" t="inlineStr">
        <is>
          <t>9780913374320</t>
        </is>
      </c>
      <c r="BC689" t="inlineStr">
        <is>
          <t>32285001032753</t>
        </is>
      </c>
      <c r="BD689" t="inlineStr">
        <is>
          <t>893263037</t>
        </is>
      </c>
    </row>
    <row r="690">
      <c r="A690" t="inlineStr">
        <is>
          <t>No</t>
        </is>
      </c>
      <c r="B690" t="inlineStr">
        <is>
          <t>HV6534.B6 L37 1995</t>
        </is>
      </c>
      <c r="C690" t="inlineStr">
        <is>
          <t>0                      HV 6534000B  6                  L  37          1995</t>
        </is>
      </c>
      <c r="D690" t="inlineStr">
        <is>
          <t>The stalking of Kristin : a father investigates the murder of his daughter / George Lardner, Jr.</t>
        </is>
      </c>
      <c r="F690" t="inlineStr">
        <is>
          <t>No</t>
        </is>
      </c>
      <c r="G690" t="inlineStr">
        <is>
          <t>1</t>
        </is>
      </c>
      <c r="H690" t="inlineStr">
        <is>
          <t>Yes</t>
        </is>
      </c>
      <c r="I690" t="inlineStr">
        <is>
          <t>No</t>
        </is>
      </c>
      <c r="J690" t="inlineStr">
        <is>
          <t>0</t>
        </is>
      </c>
      <c r="K690" t="inlineStr">
        <is>
          <t>Lardner, George.</t>
        </is>
      </c>
      <c r="L690" t="inlineStr">
        <is>
          <t>New York : Atlantic Monthly Press, 1995.</t>
        </is>
      </c>
      <c r="M690" t="inlineStr">
        <is>
          <t>1995</t>
        </is>
      </c>
      <c r="O690" t="inlineStr">
        <is>
          <t>eng</t>
        </is>
      </c>
      <c r="P690" t="inlineStr">
        <is>
          <t>nyu</t>
        </is>
      </c>
      <c r="R690" t="inlineStr">
        <is>
          <t xml:space="preserve">HV </t>
        </is>
      </c>
      <c r="S690" t="n">
        <v>5</v>
      </c>
      <c r="T690" t="n">
        <v>6</v>
      </c>
      <c r="U690" t="inlineStr">
        <is>
          <t>2008-11-24</t>
        </is>
      </c>
      <c r="V690" t="inlineStr">
        <is>
          <t>2008-11-24</t>
        </is>
      </c>
      <c r="W690" t="inlineStr">
        <is>
          <t>1995-11-27</t>
        </is>
      </c>
      <c r="X690" t="inlineStr">
        <is>
          <t>1995-12-14</t>
        </is>
      </c>
      <c r="Y690" t="n">
        <v>670</v>
      </c>
      <c r="Z690" t="n">
        <v>645</v>
      </c>
      <c r="AA690" t="n">
        <v>693</v>
      </c>
      <c r="AB690" t="n">
        <v>11</v>
      </c>
      <c r="AC690" t="n">
        <v>11</v>
      </c>
      <c r="AD690" t="n">
        <v>15</v>
      </c>
      <c r="AE690" t="n">
        <v>15</v>
      </c>
      <c r="AF690" t="n">
        <v>1</v>
      </c>
      <c r="AG690" t="n">
        <v>1</v>
      </c>
      <c r="AH690" t="n">
        <v>3</v>
      </c>
      <c r="AI690" t="n">
        <v>3</v>
      </c>
      <c r="AJ690" t="n">
        <v>7</v>
      </c>
      <c r="AK690" t="n">
        <v>7</v>
      </c>
      <c r="AL690" t="n">
        <v>4</v>
      </c>
      <c r="AM690" t="n">
        <v>4</v>
      </c>
      <c r="AN690" t="n">
        <v>3</v>
      </c>
      <c r="AO690" t="n">
        <v>3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HYPERLINK("https://creighton-primo.hosted.exlibrisgroup.com/primo-explore/search?tab=default_tab&amp;search_scope=EVERYTHING&amp;vid=01CRU&amp;lang=en_US&amp;offset=0&amp;query=any,contains,991001666479702656","Catalog Record")</f>
        <v/>
      </c>
      <c r="AT690">
        <f>HYPERLINK("http://www.worldcat.org/oclc/32274506","WorldCat Record")</f>
        <v/>
      </c>
      <c r="AU690" t="inlineStr">
        <is>
          <t>34257348:eng</t>
        </is>
      </c>
      <c r="AV690" t="inlineStr">
        <is>
          <t>32274506</t>
        </is>
      </c>
      <c r="AW690" t="inlineStr">
        <is>
          <t>991001666479702656</t>
        </is>
      </c>
      <c r="AX690" t="inlineStr">
        <is>
          <t>991001666479702656</t>
        </is>
      </c>
      <c r="AY690" t="inlineStr">
        <is>
          <t>2260390390002656</t>
        </is>
      </c>
      <c r="AZ690" t="inlineStr">
        <is>
          <t>BOOK</t>
        </is>
      </c>
      <c r="BB690" t="inlineStr">
        <is>
          <t>9780871136138</t>
        </is>
      </c>
      <c r="BC690" t="inlineStr">
        <is>
          <t>32285002105772</t>
        </is>
      </c>
      <c r="BD690" t="inlineStr">
        <is>
          <t>893250378</t>
        </is>
      </c>
    </row>
    <row r="691">
      <c r="A691" t="inlineStr">
        <is>
          <t>No</t>
        </is>
      </c>
      <c r="B691" t="inlineStr">
        <is>
          <t>HV6534.G765 L48 2004</t>
        </is>
      </c>
      <c r="C691" t="inlineStr">
        <is>
          <t>0                      HV 6534000G  765                L  48          2004</t>
        </is>
      </c>
      <c r="D691" t="inlineStr">
        <is>
          <t>Conviction : solving the Moxley murder : a reporter and a detective's twenty-year search for justice / Leonard Levitt.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Levitt, Leonard, 1941-</t>
        </is>
      </c>
      <c r="L691" t="inlineStr">
        <is>
          <t>New York, NY : ReganBooks, c2004.</t>
        </is>
      </c>
      <c r="M691" t="inlineStr">
        <is>
          <t>2004</t>
        </is>
      </c>
      <c r="N691" t="inlineStr">
        <is>
          <t>1st ed.</t>
        </is>
      </c>
      <c r="O691" t="inlineStr">
        <is>
          <t>eng</t>
        </is>
      </c>
      <c r="P691" t="inlineStr">
        <is>
          <t>nyu</t>
        </is>
      </c>
      <c r="R691" t="inlineStr">
        <is>
          <t xml:space="preserve">HV </t>
        </is>
      </c>
      <c r="S691" t="n">
        <v>3</v>
      </c>
      <c r="T691" t="n">
        <v>3</v>
      </c>
      <c r="U691" t="inlineStr">
        <is>
          <t>2005-06-02</t>
        </is>
      </c>
      <c r="V691" t="inlineStr">
        <is>
          <t>2005-06-02</t>
        </is>
      </c>
      <c r="W691" t="inlineStr">
        <is>
          <t>2005-06-02</t>
        </is>
      </c>
      <c r="X691" t="inlineStr">
        <is>
          <t>2005-06-02</t>
        </is>
      </c>
      <c r="Y691" t="n">
        <v>432</v>
      </c>
      <c r="Z691" t="n">
        <v>409</v>
      </c>
      <c r="AA691" t="n">
        <v>419</v>
      </c>
      <c r="AB691" t="n">
        <v>3</v>
      </c>
      <c r="AC691" t="n">
        <v>3</v>
      </c>
      <c r="AD691" t="n">
        <v>10</v>
      </c>
      <c r="AE691" t="n">
        <v>10</v>
      </c>
      <c r="AF691" t="n">
        <v>2</v>
      </c>
      <c r="AG691" t="n">
        <v>2</v>
      </c>
      <c r="AH691" t="n">
        <v>3</v>
      </c>
      <c r="AI691" t="n">
        <v>3</v>
      </c>
      <c r="AJ691" t="n">
        <v>6</v>
      </c>
      <c r="AK691" t="n">
        <v>6</v>
      </c>
      <c r="AL691" t="n">
        <v>0</v>
      </c>
      <c r="AM691" t="n">
        <v>0</v>
      </c>
      <c r="AN691" t="n">
        <v>3</v>
      </c>
      <c r="AO691" t="n">
        <v>3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HYPERLINK("https://creighton-primo.hosted.exlibrisgroup.com/primo-explore/search?tab=default_tab&amp;search_scope=EVERYTHING&amp;vid=01CRU&amp;lang=en_US&amp;offset=0&amp;query=any,contains,991004557309702656","Catalog Record")</f>
        <v/>
      </c>
      <c r="AT691">
        <f>HYPERLINK("http://www.worldcat.org/oclc/55981652","WorldCat Record")</f>
        <v/>
      </c>
      <c r="AU691" t="inlineStr">
        <is>
          <t>14327588:eng</t>
        </is>
      </c>
      <c r="AV691" t="inlineStr">
        <is>
          <t>55981652</t>
        </is>
      </c>
      <c r="AW691" t="inlineStr">
        <is>
          <t>991004557309702656</t>
        </is>
      </c>
      <c r="AX691" t="inlineStr">
        <is>
          <t>991004557309702656</t>
        </is>
      </c>
      <c r="AY691" t="inlineStr">
        <is>
          <t>2262152570002656</t>
        </is>
      </c>
      <c r="AZ691" t="inlineStr">
        <is>
          <t>BOOK</t>
        </is>
      </c>
      <c r="BB691" t="inlineStr">
        <is>
          <t>9780060544300</t>
        </is>
      </c>
      <c r="BC691" t="inlineStr">
        <is>
          <t>32285005092480</t>
        </is>
      </c>
      <c r="BD691" t="inlineStr">
        <is>
          <t>893247717</t>
        </is>
      </c>
    </row>
    <row r="692">
      <c r="A692" t="inlineStr">
        <is>
          <t>No</t>
        </is>
      </c>
      <c r="B692" t="inlineStr">
        <is>
          <t>HV6534.M775 D55 2005</t>
        </is>
      </c>
      <c r="C692" t="inlineStr">
        <is>
          <t>0                      HV 6534000M  775                D  55          2005</t>
        </is>
      </c>
      <c r="D692" t="inlineStr">
        <is>
          <t>Stone cold guilty : the People v. Scott Lee Peterson / Loretta Dillon.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Dillon, Loretta.</t>
        </is>
      </c>
      <c r="L692" t="inlineStr">
        <is>
          <t>[United States? : s. n., 2005]</t>
        </is>
      </c>
      <c r="M692" t="inlineStr">
        <is>
          <t>2005</t>
        </is>
      </c>
      <c r="O692" t="inlineStr">
        <is>
          <t>eng</t>
        </is>
      </c>
      <c r="P692" t="inlineStr">
        <is>
          <t>xxu</t>
        </is>
      </c>
      <c r="R692" t="inlineStr">
        <is>
          <t xml:space="preserve">HV </t>
        </is>
      </c>
      <c r="S692" t="n">
        <v>3</v>
      </c>
      <c r="T692" t="n">
        <v>3</v>
      </c>
      <c r="U692" t="inlineStr">
        <is>
          <t>2006-12-20</t>
        </is>
      </c>
      <c r="V692" t="inlineStr">
        <is>
          <t>2006-12-20</t>
        </is>
      </c>
      <c r="W692" t="inlineStr">
        <is>
          <t>2006-03-27</t>
        </is>
      </c>
      <c r="X692" t="inlineStr">
        <is>
          <t>2006-03-27</t>
        </is>
      </c>
      <c r="Y692" t="n">
        <v>25</v>
      </c>
      <c r="Z692" t="n">
        <v>25</v>
      </c>
      <c r="AA692" t="n">
        <v>26</v>
      </c>
      <c r="AB692" t="n">
        <v>2</v>
      </c>
      <c r="AC692" t="n">
        <v>2</v>
      </c>
      <c r="AD692" t="n">
        <v>1</v>
      </c>
      <c r="AE692" t="n">
        <v>1</v>
      </c>
      <c r="AF692" t="n">
        <v>0</v>
      </c>
      <c r="AG692" t="n">
        <v>0</v>
      </c>
      <c r="AH692" t="n">
        <v>0</v>
      </c>
      <c r="AI692" t="n">
        <v>0</v>
      </c>
      <c r="AJ692" t="n">
        <v>1</v>
      </c>
      <c r="AK692" t="n">
        <v>1</v>
      </c>
      <c r="AL692" t="n">
        <v>0</v>
      </c>
      <c r="AM692" t="n">
        <v>0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HYPERLINK("https://creighton-primo.hosted.exlibrisgroup.com/primo-explore/search?tab=default_tab&amp;search_scope=EVERYTHING&amp;vid=01CRU&amp;lang=en_US&amp;offset=0&amp;query=any,contains,991004769549702656","Catalog Record")</f>
        <v/>
      </c>
      <c r="AT692">
        <f>HYPERLINK("http://www.worldcat.org/oclc/62199420","WorldCat Record")</f>
        <v/>
      </c>
      <c r="AU692" t="inlineStr">
        <is>
          <t>4471870612:eng</t>
        </is>
      </c>
      <c r="AV692" t="inlineStr">
        <is>
          <t>62199420</t>
        </is>
      </c>
      <c r="AW692" t="inlineStr">
        <is>
          <t>991004769549702656</t>
        </is>
      </c>
      <c r="AX692" t="inlineStr">
        <is>
          <t>991004769549702656</t>
        </is>
      </c>
      <c r="AY692" t="inlineStr">
        <is>
          <t>2255892330002656</t>
        </is>
      </c>
      <c r="AZ692" t="inlineStr">
        <is>
          <t>BOOK</t>
        </is>
      </c>
      <c r="BB692" t="inlineStr">
        <is>
          <t>9781411634534</t>
        </is>
      </c>
      <c r="BC692" t="inlineStr">
        <is>
          <t>32285005167852</t>
        </is>
      </c>
      <c r="BD692" t="inlineStr">
        <is>
          <t>893612756</t>
        </is>
      </c>
    </row>
    <row r="693">
      <c r="A693" t="inlineStr">
        <is>
          <t>No</t>
        </is>
      </c>
      <c r="B693" t="inlineStr">
        <is>
          <t>HV6534.O23 R59 1995</t>
        </is>
      </c>
      <c r="C693" t="inlineStr">
        <is>
          <t>0                      HV 6534000O  23                 R  59          1995</t>
        </is>
      </c>
      <c r="D693" t="inlineStr">
        <is>
          <t>Drive-by / Gary Rivlin.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Rivlin, Gary.</t>
        </is>
      </c>
      <c r="L693" t="inlineStr">
        <is>
          <t>New York : H. Holt, 1995.</t>
        </is>
      </c>
      <c r="M693" t="inlineStr">
        <is>
          <t>1995</t>
        </is>
      </c>
      <c r="N693" t="inlineStr">
        <is>
          <t>1st ed.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HV </t>
        </is>
      </c>
      <c r="S693" t="n">
        <v>4</v>
      </c>
      <c r="T693" t="n">
        <v>4</v>
      </c>
      <c r="U693" t="inlineStr">
        <is>
          <t>2006-11-17</t>
        </is>
      </c>
      <c r="V693" t="inlineStr">
        <is>
          <t>2006-11-17</t>
        </is>
      </c>
      <c r="W693" t="inlineStr">
        <is>
          <t>1995-11-27</t>
        </is>
      </c>
      <c r="X693" t="inlineStr">
        <is>
          <t>1995-11-27</t>
        </is>
      </c>
      <c r="Y693" t="n">
        <v>441</v>
      </c>
      <c r="Z693" t="n">
        <v>428</v>
      </c>
      <c r="AA693" t="n">
        <v>441</v>
      </c>
      <c r="AB693" t="n">
        <v>4</v>
      </c>
      <c r="AC693" t="n">
        <v>4</v>
      </c>
      <c r="AD693" t="n">
        <v>14</v>
      </c>
      <c r="AE693" t="n">
        <v>14</v>
      </c>
      <c r="AF693" t="n">
        <v>5</v>
      </c>
      <c r="AG693" t="n">
        <v>5</v>
      </c>
      <c r="AH693" t="n">
        <v>2</v>
      </c>
      <c r="AI693" t="n">
        <v>2</v>
      </c>
      <c r="AJ693" t="n">
        <v>8</v>
      </c>
      <c r="AK693" t="n">
        <v>8</v>
      </c>
      <c r="AL693" t="n">
        <v>1</v>
      </c>
      <c r="AM693" t="n">
        <v>1</v>
      </c>
      <c r="AN693" t="n">
        <v>1</v>
      </c>
      <c r="AO693" t="n">
        <v>1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HYPERLINK("https://creighton-primo.hosted.exlibrisgroup.com/primo-explore/search?tab=default_tab&amp;search_scope=EVERYTHING&amp;vid=01CRU&amp;lang=en_US&amp;offset=0&amp;query=any,contains,991002462739702656","Catalog Record")</f>
        <v/>
      </c>
      <c r="AT693">
        <f>HYPERLINK("http://www.worldcat.org/oclc/32089083","WorldCat Record")</f>
        <v/>
      </c>
      <c r="AU693" t="inlineStr">
        <is>
          <t>3769477694:eng</t>
        </is>
      </c>
      <c r="AV693" t="inlineStr">
        <is>
          <t>32089083</t>
        </is>
      </c>
      <c r="AW693" t="inlineStr">
        <is>
          <t>991002462739702656</t>
        </is>
      </c>
      <c r="AX693" t="inlineStr">
        <is>
          <t>991002462739702656</t>
        </is>
      </c>
      <c r="AY693" t="inlineStr">
        <is>
          <t>2255303200002656</t>
        </is>
      </c>
      <c r="AZ693" t="inlineStr">
        <is>
          <t>BOOK</t>
        </is>
      </c>
      <c r="BB693" t="inlineStr">
        <is>
          <t>9780805029215</t>
        </is>
      </c>
      <c r="BC693" t="inlineStr">
        <is>
          <t>32285002106655</t>
        </is>
      </c>
      <c r="BD693" t="inlineStr">
        <is>
          <t>893245212</t>
        </is>
      </c>
    </row>
    <row r="694">
      <c r="A694" t="inlineStr">
        <is>
          <t>No</t>
        </is>
      </c>
      <c r="B694" t="inlineStr">
        <is>
          <t>HV6534.P55 L394 2009</t>
        </is>
      </c>
      <c r="C694" t="inlineStr">
        <is>
          <t>0                      HV 6534000P  55                 L  394         2009</t>
        </is>
      </c>
      <c r="D694" t="inlineStr">
        <is>
          <t>Evening's empire : the story of my father's murder / Zachary Lazar.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Lazar, Zachary.</t>
        </is>
      </c>
      <c r="L694" t="inlineStr">
        <is>
          <t>New York : Little, Brown and Co., 2009.</t>
        </is>
      </c>
      <c r="M694" t="inlineStr">
        <is>
          <t>2009</t>
        </is>
      </c>
      <c r="N694" t="inlineStr">
        <is>
          <t>1st ed.</t>
        </is>
      </c>
      <c r="O694" t="inlineStr">
        <is>
          <t>eng</t>
        </is>
      </c>
      <c r="P694" t="inlineStr">
        <is>
          <t>nyu</t>
        </is>
      </c>
      <c r="R694" t="inlineStr">
        <is>
          <t xml:space="preserve">HV </t>
        </is>
      </c>
      <c r="S694" t="n">
        <v>1</v>
      </c>
      <c r="T694" t="n">
        <v>1</v>
      </c>
      <c r="U694" t="inlineStr">
        <is>
          <t>2009-12-02</t>
        </is>
      </c>
      <c r="V694" t="inlineStr">
        <is>
          <t>2009-12-02</t>
        </is>
      </c>
      <c r="W694" t="inlineStr">
        <is>
          <t>2009-12-02</t>
        </is>
      </c>
      <c r="X694" t="inlineStr">
        <is>
          <t>2009-12-02</t>
        </is>
      </c>
      <c r="Y694" t="n">
        <v>266</v>
      </c>
      <c r="Z694" t="n">
        <v>256</v>
      </c>
      <c r="AA694" t="n">
        <v>298</v>
      </c>
      <c r="AB694" t="n">
        <v>1</v>
      </c>
      <c r="AC694" t="n">
        <v>2</v>
      </c>
      <c r="AD694" t="n">
        <v>2</v>
      </c>
      <c r="AE694" t="n">
        <v>4</v>
      </c>
      <c r="AF694" t="n">
        <v>0</v>
      </c>
      <c r="AG694" t="n">
        <v>0</v>
      </c>
      <c r="AH694" t="n">
        <v>2</v>
      </c>
      <c r="AI694" t="n">
        <v>2</v>
      </c>
      <c r="AJ694" t="n">
        <v>2</v>
      </c>
      <c r="AK694" t="n">
        <v>3</v>
      </c>
      <c r="AL694" t="n">
        <v>0</v>
      </c>
      <c r="AM694" t="n">
        <v>1</v>
      </c>
      <c r="AN694" t="n">
        <v>0</v>
      </c>
      <c r="AO694" t="n">
        <v>0</v>
      </c>
      <c r="AP694" t="inlineStr">
        <is>
          <t>No</t>
        </is>
      </c>
      <c r="AQ694" t="inlineStr">
        <is>
          <t>No</t>
        </is>
      </c>
      <c r="AS694">
        <f>HYPERLINK("https://creighton-primo.hosted.exlibrisgroup.com/primo-explore/search?tab=default_tab&amp;search_scope=EVERYTHING&amp;vid=01CRU&amp;lang=en_US&amp;offset=0&amp;query=any,contains,991005341219702656","Catalog Record")</f>
        <v/>
      </c>
      <c r="AT694">
        <f>HYPERLINK("http://www.worldcat.org/oclc/318879232","WorldCat Record")</f>
        <v/>
      </c>
      <c r="AU694" t="inlineStr">
        <is>
          <t>842594279:eng</t>
        </is>
      </c>
      <c r="AV694" t="inlineStr">
        <is>
          <t>318879232</t>
        </is>
      </c>
      <c r="AW694" t="inlineStr">
        <is>
          <t>991005341219702656</t>
        </is>
      </c>
      <c r="AX694" t="inlineStr">
        <is>
          <t>991005341219702656</t>
        </is>
      </c>
      <c r="AY694" t="inlineStr">
        <is>
          <t>2260783560002656</t>
        </is>
      </c>
      <c r="AZ694" t="inlineStr">
        <is>
          <t>BOOK</t>
        </is>
      </c>
      <c r="BB694" t="inlineStr">
        <is>
          <t>9780316037686</t>
        </is>
      </c>
      <c r="BC694" t="inlineStr">
        <is>
          <t>32285005553135</t>
        </is>
      </c>
      <c r="BD694" t="inlineStr">
        <is>
          <t>893688980</t>
        </is>
      </c>
    </row>
    <row r="695">
      <c r="A695" t="inlineStr">
        <is>
          <t>No</t>
        </is>
      </c>
      <c r="B695" t="inlineStr">
        <is>
          <t>HV6534.T78 F56 2003</t>
        </is>
      </c>
      <c r="C695" t="inlineStr">
        <is>
          <t>0                      HV 6534000T  78                 F  56          2003</t>
        </is>
      </c>
      <c r="D695" t="inlineStr">
        <is>
          <t>Invisible Eden : a story of love and murder on Cape Cod / Maria Flook.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Flook, Maria.</t>
        </is>
      </c>
      <c r="L695" t="inlineStr">
        <is>
          <t>New York : Broadway Books, 2003.</t>
        </is>
      </c>
      <c r="M695" t="inlineStr">
        <is>
          <t>2003</t>
        </is>
      </c>
      <c r="N695" t="inlineStr">
        <is>
          <t>1st ed.</t>
        </is>
      </c>
      <c r="O695" t="inlineStr">
        <is>
          <t>eng</t>
        </is>
      </c>
      <c r="P695" t="inlineStr">
        <is>
          <t>nyu</t>
        </is>
      </c>
      <c r="R695" t="inlineStr">
        <is>
          <t xml:space="preserve">HV </t>
        </is>
      </c>
      <c r="S695" t="n">
        <v>1</v>
      </c>
      <c r="T695" t="n">
        <v>1</v>
      </c>
      <c r="U695" t="inlineStr">
        <is>
          <t>2003-09-11</t>
        </is>
      </c>
      <c r="V695" t="inlineStr">
        <is>
          <t>2003-09-11</t>
        </is>
      </c>
      <c r="W695" t="inlineStr">
        <is>
          <t>2003-09-11</t>
        </is>
      </c>
      <c r="X695" t="inlineStr">
        <is>
          <t>2003-09-11</t>
        </is>
      </c>
      <c r="Y695" t="n">
        <v>1201</v>
      </c>
      <c r="Z695" t="n">
        <v>1158</v>
      </c>
      <c r="AA695" t="n">
        <v>1305</v>
      </c>
      <c r="AB695" t="n">
        <v>16</v>
      </c>
      <c r="AC695" t="n">
        <v>17</v>
      </c>
      <c r="AD695" t="n">
        <v>10</v>
      </c>
      <c r="AE695" t="n">
        <v>10</v>
      </c>
      <c r="AF695" t="n">
        <v>3</v>
      </c>
      <c r="AG695" t="n">
        <v>3</v>
      </c>
      <c r="AH695" t="n">
        <v>2</v>
      </c>
      <c r="AI695" t="n">
        <v>2</v>
      </c>
      <c r="AJ695" t="n">
        <v>4</v>
      </c>
      <c r="AK695" t="n">
        <v>4</v>
      </c>
      <c r="AL695" t="n">
        <v>2</v>
      </c>
      <c r="AM695" t="n">
        <v>2</v>
      </c>
      <c r="AN695" t="n">
        <v>2</v>
      </c>
      <c r="AO695" t="n">
        <v>2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HYPERLINK("https://creighton-primo.hosted.exlibrisgroup.com/primo-explore/search?tab=default_tab&amp;search_scope=EVERYTHING&amp;vid=01CRU&amp;lang=en_US&amp;offset=0&amp;query=any,contains,991004111459702656","Catalog Record")</f>
        <v/>
      </c>
      <c r="AT695">
        <f>HYPERLINK("http://www.worldcat.org/oclc/51726839","WorldCat Record")</f>
        <v/>
      </c>
      <c r="AU695" t="inlineStr">
        <is>
          <t>867083522:eng</t>
        </is>
      </c>
      <c r="AV695" t="inlineStr">
        <is>
          <t>51726839</t>
        </is>
      </c>
      <c r="AW695" t="inlineStr">
        <is>
          <t>991004111459702656</t>
        </is>
      </c>
      <c r="AX695" t="inlineStr">
        <is>
          <t>991004111459702656</t>
        </is>
      </c>
      <c r="AY695" t="inlineStr">
        <is>
          <t>2269552020002656</t>
        </is>
      </c>
      <c r="AZ695" t="inlineStr">
        <is>
          <t>BOOK</t>
        </is>
      </c>
      <c r="BB695" t="inlineStr">
        <is>
          <t>9780767913744</t>
        </is>
      </c>
      <c r="BC695" t="inlineStr">
        <is>
          <t>32285004782685</t>
        </is>
      </c>
      <c r="BD695" t="inlineStr">
        <is>
          <t>893343473</t>
        </is>
      </c>
    </row>
    <row r="696">
      <c r="A696" t="inlineStr">
        <is>
          <t>No</t>
        </is>
      </c>
      <c r="B696" t="inlineStr">
        <is>
          <t>HV6535.C33 L82 1967</t>
        </is>
      </c>
      <c r="C696" t="inlineStr">
        <is>
          <t>0                      HV 6535000C  33                 L  82          1967</t>
        </is>
      </c>
      <c r="D696" t="inlineStr">
        <is>
          <t>The Donnellys must die.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Miller, Orlo, 1911-1993.</t>
        </is>
      </c>
      <c r="L696" t="inlineStr">
        <is>
          <t>Toronto, Macmillan of Canada [1967]</t>
        </is>
      </c>
      <c r="M696" t="inlineStr">
        <is>
          <t>1967</t>
        </is>
      </c>
      <c r="O696" t="inlineStr">
        <is>
          <t>eng</t>
        </is>
      </c>
      <c r="P696" t="inlineStr">
        <is>
          <t>onc</t>
        </is>
      </c>
      <c r="Q696" t="inlineStr">
        <is>
          <t>Laurentian library, 4</t>
        </is>
      </c>
      <c r="R696" t="inlineStr">
        <is>
          <t xml:space="preserve">HV </t>
        </is>
      </c>
      <c r="S696" t="n">
        <v>1</v>
      </c>
      <c r="T696" t="n">
        <v>1</v>
      </c>
      <c r="U696" t="inlineStr">
        <is>
          <t>2005-03-21</t>
        </is>
      </c>
      <c r="V696" t="inlineStr">
        <is>
          <t>2005-03-21</t>
        </is>
      </c>
      <c r="W696" t="inlineStr">
        <is>
          <t>1997-08-25</t>
        </is>
      </c>
      <c r="X696" t="inlineStr">
        <is>
          <t>1997-08-25</t>
        </is>
      </c>
      <c r="Y696" t="n">
        <v>69</v>
      </c>
      <c r="Z696" t="n">
        <v>38</v>
      </c>
      <c r="AA696" t="n">
        <v>66</v>
      </c>
      <c r="AB696" t="n">
        <v>1</v>
      </c>
      <c r="AC696" t="n">
        <v>1</v>
      </c>
      <c r="AD696" t="n">
        <v>0</v>
      </c>
      <c r="AE696" t="n">
        <v>1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  <c r="AN696" t="n">
        <v>0</v>
      </c>
      <c r="AO696" t="n">
        <v>1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HYPERLINK("https://creighton-primo.hosted.exlibrisgroup.com/primo-explore/search?tab=default_tab&amp;search_scope=EVERYTHING&amp;vid=01CRU&amp;lang=en_US&amp;offset=0&amp;query=any,contains,991002818269702656","Catalog Record")</f>
        <v/>
      </c>
      <c r="AT696">
        <f>HYPERLINK("http://www.worldcat.org/oclc/463640","WorldCat Record")</f>
        <v/>
      </c>
      <c r="AU696" t="inlineStr">
        <is>
          <t>5620903562:eng</t>
        </is>
      </c>
      <c r="AV696" t="inlineStr">
        <is>
          <t>463640</t>
        </is>
      </c>
      <c r="AW696" t="inlineStr">
        <is>
          <t>991002818269702656</t>
        </is>
      </c>
      <c r="AX696" t="inlineStr">
        <is>
          <t>991002818269702656</t>
        </is>
      </c>
      <c r="AY696" t="inlineStr">
        <is>
          <t>2261046310002656</t>
        </is>
      </c>
      <c r="AZ696" t="inlineStr">
        <is>
          <t>BOOK</t>
        </is>
      </c>
      <c r="BC696" t="inlineStr">
        <is>
          <t>32285003158333</t>
        </is>
      </c>
      <c r="BD696" t="inlineStr">
        <is>
          <t>893704562</t>
        </is>
      </c>
    </row>
    <row r="697">
      <c r="A697" t="inlineStr">
        <is>
          <t>No</t>
        </is>
      </c>
      <c r="B697" t="inlineStr">
        <is>
          <t>HV6535.D65 M335 2005</t>
        </is>
      </c>
      <c r="C697" t="inlineStr">
        <is>
          <t>0                      HV 6535000D  65                 M  335         2005</t>
        </is>
      </c>
      <c r="D697" t="inlineStr">
        <is>
          <t>Dead man in paradise / J.B. MacKinnon.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Yes</t>
        </is>
      </c>
      <c r="J697" t="inlineStr">
        <is>
          <t>0</t>
        </is>
      </c>
      <c r="K697" t="inlineStr">
        <is>
          <t>MacKinnon, J. B. (James Bernard), 1970-</t>
        </is>
      </c>
      <c r="L697" t="inlineStr">
        <is>
          <t>Vancouver, BC : Douglas &amp; McIntyre, c2005.</t>
        </is>
      </c>
      <c r="M697" t="inlineStr">
        <is>
          <t>2005</t>
        </is>
      </c>
      <c r="O697" t="inlineStr">
        <is>
          <t>eng</t>
        </is>
      </c>
      <c r="P697" t="inlineStr">
        <is>
          <t>bcc</t>
        </is>
      </c>
      <c r="R697" t="inlineStr">
        <is>
          <t xml:space="preserve">HV </t>
        </is>
      </c>
      <c r="S697" t="n">
        <v>10</v>
      </c>
      <c r="T697" t="n">
        <v>10</v>
      </c>
      <c r="U697" t="inlineStr">
        <is>
          <t>2007-01-11</t>
        </is>
      </c>
      <c r="V697" t="inlineStr">
        <is>
          <t>2007-01-11</t>
        </is>
      </c>
      <c r="W697" t="inlineStr">
        <is>
          <t>2006-07-17</t>
        </is>
      </c>
      <c r="X697" t="inlineStr">
        <is>
          <t>2006-07-17</t>
        </is>
      </c>
      <c r="Y697" t="n">
        <v>104</v>
      </c>
      <c r="Z697" t="n">
        <v>26</v>
      </c>
      <c r="AA697" t="n">
        <v>224</v>
      </c>
      <c r="AB697" t="n">
        <v>1</v>
      </c>
      <c r="AC697" t="n">
        <v>2</v>
      </c>
      <c r="AD697" t="n">
        <v>0</v>
      </c>
      <c r="AE697" t="n">
        <v>4</v>
      </c>
      <c r="AF697" t="n">
        <v>0</v>
      </c>
      <c r="AG697" t="n">
        <v>1</v>
      </c>
      <c r="AH697" t="n">
        <v>0</v>
      </c>
      <c r="AI697" t="n">
        <v>2</v>
      </c>
      <c r="AJ697" t="n">
        <v>0</v>
      </c>
      <c r="AK697" t="n">
        <v>2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No</t>
        </is>
      </c>
      <c r="AS697">
        <f>HYPERLINK("https://creighton-primo.hosted.exlibrisgroup.com/primo-explore/search?tab=default_tab&amp;search_scope=EVERYTHING&amp;vid=01CRU&amp;lang=en_US&amp;offset=0&amp;query=any,contains,991004858759702656","Catalog Record")</f>
        <v/>
      </c>
      <c r="AT697">
        <f>HYPERLINK("http://www.worldcat.org/oclc/61128009","WorldCat Record")</f>
        <v/>
      </c>
      <c r="AU697" t="inlineStr">
        <is>
          <t>576662:eng</t>
        </is>
      </c>
      <c r="AV697" t="inlineStr">
        <is>
          <t>61128009</t>
        </is>
      </c>
      <c r="AW697" t="inlineStr">
        <is>
          <t>991004858759702656</t>
        </is>
      </c>
      <c r="AX697" t="inlineStr">
        <is>
          <t>991004858759702656</t>
        </is>
      </c>
      <c r="AY697" t="inlineStr">
        <is>
          <t>2264154490002656</t>
        </is>
      </c>
      <c r="AZ697" t="inlineStr">
        <is>
          <t>BOOK</t>
        </is>
      </c>
      <c r="BB697" t="inlineStr">
        <is>
          <t>9781553651383</t>
        </is>
      </c>
      <c r="BC697" t="inlineStr">
        <is>
          <t>32285005194930</t>
        </is>
      </c>
      <c r="BD697" t="inlineStr">
        <is>
          <t>893520129</t>
        </is>
      </c>
    </row>
    <row r="698">
      <c r="A698" t="inlineStr">
        <is>
          <t>No</t>
        </is>
      </c>
      <c r="B698" t="inlineStr">
        <is>
          <t>HV6535.G4 A68</t>
        </is>
      </c>
      <c r="C698" t="inlineStr">
        <is>
          <t>0                      HV 6535000G  4                  A  68</t>
        </is>
      </c>
      <c r="D698" t="inlineStr">
        <is>
          <t>Victorian studies in scarlet [by] Richard D. Altick.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Altick, Richard D. (Richard Daniel), 1915-2008.</t>
        </is>
      </c>
      <c r="L698" t="inlineStr">
        <is>
          <t>New York, Norton [1970]</t>
        </is>
      </c>
      <c r="M698" t="inlineStr">
        <is>
          <t>1970</t>
        </is>
      </c>
      <c r="N698" t="inlineStr">
        <is>
          <t>[1st ed.]</t>
        </is>
      </c>
      <c r="O698" t="inlineStr">
        <is>
          <t>eng</t>
        </is>
      </c>
      <c r="P698" t="inlineStr">
        <is>
          <t>nyu</t>
        </is>
      </c>
      <c r="R698" t="inlineStr">
        <is>
          <t xml:space="preserve">HV </t>
        </is>
      </c>
      <c r="S698" t="n">
        <v>2</v>
      </c>
      <c r="T698" t="n">
        <v>2</v>
      </c>
      <c r="U698" t="inlineStr">
        <is>
          <t>2008-02-29</t>
        </is>
      </c>
      <c r="V698" t="inlineStr">
        <is>
          <t>2008-02-29</t>
        </is>
      </c>
      <c r="W698" t="inlineStr">
        <is>
          <t>1997-08-25</t>
        </is>
      </c>
      <c r="X698" t="inlineStr">
        <is>
          <t>1997-08-25</t>
        </is>
      </c>
      <c r="Y698" t="n">
        <v>667</v>
      </c>
      <c r="Z698" t="n">
        <v>596</v>
      </c>
      <c r="AA698" t="n">
        <v>600</v>
      </c>
      <c r="AB698" t="n">
        <v>5</v>
      </c>
      <c r="AC698" t="n">
        <v>5</v>
      </c>
      <c r="AD698" t="n">
        <v>25</v>
      </c>
      <c r="AE698" t="n">
        <v>26</v>
      </c>
      <c r="AF698" t="n">
        <v>10</v>
      </c>
      <c r="AG698" t="n">
        <v>10</v>
      </c>
      <c r="AH698" t="n">
        <v>5</v>
      </c>
      <c r="AI698" t="n">
        <v>5</v>
      </c>
      <c r="AJ698" t="n">
        <v>12</v>
      </c>
      <c r="AK698" t="n">
        <v>12</v>
      </c>
      <c r="AL698" t="n">
        <v>4</v>
      </c>
      <c r="AM698" t="n">
        <v>4</v>
      </c>
      <c r="AN698" t="n">
        <v>0</v>
      </c>
      <c r="AO698" t="n">
        <v>1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HYPERLINK("https://creighton-primo.hosted.exlibrisgroup.com/primo-explore/search?tab=default_tab&amp;search_scope=EVERYTHING&amp;vid=01CRU&amp;lang=en_US&amp;offset=0&amp;query=any,contains,991000586569702656","Catalog Record")</f>
        <v/>
      </c>
      <c r="AT698">
        <f>HYPERLINK("http://www.worldcat.org/oclc/96130","WorldCat Record")</f>
        <v/>
      </c>
      <c r="AU698" t="inlineStr">
        <is>
          <t>119996174:eng</t>
        </is>
      </c>
      <c r="AV698" t="inlineStr">
        <is>
          <t>96130</t>
        </is>
      </c>
      <c r="AW698" t="inlineStr">
        <is>
          <t>991000586569702656</t>
        </is>
      </c>
      <c r="AX698" t="inlineStr">
        <is>
          <t>991000586569702656</t>
        </is>
      </c>
      <c r="AY698" t="inlineStr">
        <is>
          <t>2271241390002656</t>
        </is>
      </c>
      <c r="AZ698" t="inlineStr">
        <is>
          <t>BOOK</t>
        </is>
      </c>
      <c r="BB698" t="inlineStr">
        <is>
          <t>9780393086058</t>
        </is>
      </c>
      <c r="BC698" t="inlineStr">
        <is>
          <t>32285003158341</t>
        </is>
      </c>
      <c r="BD698" t="inlineStr">
        <is>
          <t>893871800</t>
        </is>
      </c>
    </row>
    <row r="699">
      <c r="A699" t="inlineStr">
        <is>
          <t>No</t>
        </is>
      </c>
      <c r="B699" t="inlineStr">
        <is>
          <t>HV6535.G6 L65 1987</t>
        </is>
      </c>
      <c r="C699" t="inlineStr">
        <is>
          <t>0                      HV 6535000G  6                  L  65          1987</t>
        </is>
      </c>
      <c r="D699" t="inlineStr">
        <is>
          <t>Jack the Ripper : 100 years of investigation / Terence Sharkey.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Sharkey, Terence.</t>
        </is>
      </c>
      <c r="L699" t="inlineStr">
        <is>
          <t>London : Ward Lock, 1987.</t>
        </is>
      </c>
      <c r="M699" t="inlineStr">
        <is>
          <t>1987</t>
        </is>
      </c>
      <c r="O699" t="inlineStr">
        <is>
          <t>eng</t>
        </is>
      </c>
      <c r="P699" t="inlineStr">
        <is>
          <t>enk</t>
        </is>
      </c>
      <c r="R699" t="inlineStr">
        <is>
          <t xml:space="preserve">HV </t>
        </is>
      </c>
      <c r="S699" t="n">
        <v>19</v>
      </c>
      <c r="T699" t="n">
        <v>19</v>
      </c>
      <c r="U699" t="inlineStr">
        <is>
          <t>2008-04-13</t>
        </is>
      </c>
      <c r="V699" t="inlineStr">
        <is>
          <t>2008-04-13</t>
        </is>
      </c>
      <c r="W699" t="inlineStr">
        <is>
          <t>1992-07-08</t>
        </is>
      </c>
      <c r="X699" t="inlineStr">
        <is>
          <t>1992-07-08</t>
        </is>
      </c>
      <c r="Y699" t="n">
        <v>155</v>
      </c>
      <c r="Z699" t="n">
        <v>103</v>
      </c>
      <c r="AA699" t="n">
        <v>215</v>
      </c>
      <c r="AB699" t="n">
        <v>1</v>
      </c>
      <c r="AC699" t="n">
        <v>3</v>
      </c>
      <c r="AD699" t="n">
        <v>1</v>
      </c>
      <c r="AE699" t="n">
        <v>1</v>
      </c>
      <c r="AF699" t="n">
        <v>0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0</v>
      </c>
      <c r="AM699" t="n">
        <v>0</v>
      </c>
      <c r="AN699" t="n">
        <v>1</v>
      </c>
      <c r="AO699" t="n">
        <v>1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HYPERLINK("https://creighton-primo.hosted.exlibrisgroup.com/primo-explore/search?tab=default_tab&amp;search_scope=EVERYTHING&amp;vid=01CRU&amp;lang=en_US&amp;offset=0&amp;query=any,contains,991001109859702656","Catalog Record")</f>
        <v/>
      </c>
      <c r="AT699">
        <f>HYPERLINK("http://www.worldcat.org/oclc/19779859","WorldCat Record")</f>
        <v/>
      </c>
      <c r="AU699" t="inlineStr">
        <is>
          <t>836704500:eng</t>
        </is>
      </c>
      <c r="AV699" t="inlineStr">
        <is>
          <t>19779859</t>
        </is>
      </c>
      <c r="AW699" t="inlineStr">
        <is>
          <t>991001109859702656</t>
        </is>
      </c>
      <c r="AX699" t="inlineStr">
        <is>
          <t>991001109859702656</t>
        </is>
      </c>
      <c r="AY699" t="inlineStr">
        <is>
          <t>2269225800002656</t>
        </is>
      </c>
      <c r="AZ699" t="inlineStr">
        <is>
          <t>BOOK</t>
        </is>
      </c>
      <c r="BB699" t="inlineStr">
        <is>
          <t>9780706365962</t>
        </is>
      </c>
      <c r="BC699" t="inlineStr">
        <is>
          <t>32285001181675</t>
        </is>
      </c>
      <c r="BD699" t="inlineStr">
        <is>
          <t>893878627</t>
        </is>
      </c>
    </row>
    <row r="700">
      <c r="A700" t="inlineStr">
        <is>
          <t>No</t>
        </is>
      </c>
      <c r="B700" t="inlineStr">
        <is>
          <t>HV6535.G6 L658 1975</t>
        </is>
      </c>
      <c r="C700" t="inlineStr">
        <is>
          <t>0                      HV 6535000G  6                  L  658         1975</t>
        </is>
      </c>
      <c r="D700" t="inlineStr">
        <is>
          <t>The complete Jack the Ripper / Donald Rumbelow ; Introd. by Colin Wilson.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Rumbelow, Donald.</t>
        </is>
      </c>
      <c r="L700" t="inlineStr">
        <is>
          <t>Boston : New York Graphic Society, [1975]</t>
        </is>
      </c>
      <c r="M700" t="inlineStr">
        <is>
          <t>1975</t>
        </is>
      </c>
      <c r="O700" t="inlineStr">
        <is>
          <t>eng</t>
        </is>
      </c>
      <c r="P700" t="inlineStr">
        <is>
          <t>mau</t>
        </is>
      </c>
      <c r="R700" t="inlineStr">
        <is>
          <t xml:space="preserve">HV </t>
        </is>
      </c>
      <c r="S700" t="n">
        <v>14</v>
      </c>
      <c r="T700" t="n">
        <v>14</v>
      </c>
      <c r="U700" t="inlineStr">
        <is>
          <t>2008-04-13</t>
        </is>
      </c>
      <c r="V700" t="inlineStr">
        <is>
          <t>2008-04-13</t>
        </is>
      </c>
      <c r="W700" t="inlineStr">
        <is>
          <t>1992-04-07</t>
        </is>
      </c>
      <c r="X700" t="inlineStr">
        <is>
          <t>1992-04-07</t>
        </is>
      </c>
      <c r="Y700" t="n">
        <v>637</v>
      </c>
      <c r="Z700" t="n">
        <v>620</v>
      </c>
      <c r="AA700" t="n">
        <v>897</v>
      </c>
      <c r="AB700" t="n">
        <v>6</v>
      </c>
      <c r="AC700" t="n">
        <v>10</v>
      </c>
      <c r="AD700" t="n">
        <v>6</v>
      </c>
      <c r="AE700" t="n">
        <v>8</v>
      </c>
      <c r="AF700" t="n">
        <v>0</v>
      </c>
      <c r="AG700" t="n">
        <v>1</v>
      </c>
      <c r="AH700" t="n">
        <v>1</v>
      </c>
      <c r="AI700" t="n">
        <v>1</v>
      </c>
      <c r="AJ700" t="n">
        <v>3</v>
      </c>
      <c r="AK700" t="n">
        <v>3</v>
      </c>
      <c r="AL700" t="n">
        <v>1</v>
      </c>
      <c r="AM700" t="n">
        <v>2</v>
      </c>
      <c r="AN700" t="n">
        <v>1</v>
      </c>
      <c r="AO700" t="n">
        <v>1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HYPERLINK("https://creighton-primo.hosted.exlibrisgroup.com/primo-explore/search?tab=default_tab&amp;search_scope=EVERYTHING&amp;vid=01CRU&amp;lang=en_US&amp;offset=0&amp;query=any,contains,991003634929702656","Catalog Record")</f>
        <v/>
      </c>
      <c r="AT700">
        <f>HYPERLINK("http://www.worldcat.org/oclc/1229537","WorldCat Record")</f>
        <v/>
      </c>
      <c r="AU700" t="inlineStr">
        <is>
          <t>485148:eng</t>
        </is>
      </c>
      <c r="AV700" t="inlineStr">
        <is>
          <t>1229537</t>
        </is>
      </c>
      <c r="AW700" t="inlineStr">
        <is>
          <t>991003634929702656</t>
        </is>
      </c>
      <c r="AX700" t="inlineStr">
        <is>
          <t>991003634929702656</t>
        </is>
      </c>
      <c r="AY700" t="inlineStr">
        <is>
          <t>2268285020002656</t>
        </is>
      </c>
      <c r="AZ700" t="inlineStr">
        <is>
          <t>BOOK</t>
        </is>
      </c>
      <c r="BB700" t="inlineStr">
        <is>
          <t>9780821206614</t>
        </is>
      </c>
      <c r="BC700" t="inlineStr">
        <is>
          <t>32285001051639</t>
        </is>
      </c>
      <c r="BD700" t="inlineStr">
        <is>
          <t>893874986</t>
        </is>
      </c>
    </row>
    <row r="701">
      <c r="A701" t="inlineStr">
        <is>
          <t>No</t>
        </is>
      </c>
      <c r="B701" t="inlineStr">
        <is>
          <t>HV6535.G6 L659 1988</t>
        </is>
      </c>
      <c r="C701" t="inlineStr">
        <is>
          <t>0                      HV 6535000G  6                  L  659         1988</t>
        </is>
      </c>
      <c r="D701" t="inlineStr">
        <is>
          <t>Jack the Ripper : one hundred years of mystery / Peter Underwood.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Underwood, Peter, 1923-2014.</t>
        </is>
      </c>
      <c r="L701" t="inlineStr">
        <is>
          <t>London : Javelin, 1988.</t>
        </is>
      </c>
      <c r="M701" t="inlineStr">
        <is>
          <t>1988</t>
        </is>
      </c>
      <c r="O701" t="inlineStr">
        <is>
          <t>eng</t>
        </is>
      </c>
      <c r="P701" t="inlineStr">
        <is>
          <t>enk</t>
        </is>
      </c>
      <c r="R701" t="inlineStr">
        <is>
          <t xml:space="preserve">HV </t>
        </is>
      </c>
      <c r="S701" t="n">
        <v>14</v>
      </c>
      <c r="T701" t="n">
        <v>14</v>
      </c>
      <c r="U701" t="inlineStr">
        <is>
          <t>2004-02-23</t>
        </is>
      </c>
      <c r="V701" t="inlineStr">
        <is>
          <t>2004-02-23</t>
        </is>
      </c>
      <c r="W701" t="inlineStr">
        <is>
          <t>1992-07-08</t>
        </is>
      </c>
      <c r="X701" t="inlineStr">
        <is>
          <t>1992-07-08</t>
        </is>
      </c>
      <c r="Y701" t="n">
        <v>66</v>
      </c>
      <c r="Z701" t="n">
        <v>48</v>
      </c>
      <c r="AA701" t="n">
        <v>76</v>
      </c>
      <c r="AB701" t="n">
        <v>1</v>
      </c>
      <c r="AC701" t="n">
        <v>1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0</v>
      </c>
      <c r="AM701" t="n">
        <v>0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HYPERLINK("https://creighton-primo.hosted.exlibrisgroup.com/primo-explore/search?tab=default_tab&amp;search_scope=EVERYTHING&amp;vid=01CRU&amp;lang=en_US&amp;offset=0&amp;query=any,contains,991001390729702656","Catalog Record")</f>
        <v/>
      </c>
      <c r="AT701">
        <f>HYPERLINK("http://www.worldcat.org/oclc/18749915","WorldCat Record")</f>
        <v/>
      </c>
      <c r="AU701" t="inlineStr">
        <is>
          <t>19297805:eng</t>
        </is>
      </c>
      <c r="AV701" t="inlineStr">
        <is>
          <t>18749915</t>
        </is>
      </c>
      <c r="AW701" t="inlineStr">
        <is>
          <t>991001390729702656</t>
        </is>
      </c>
      <c r="AX701" t="inlineStr">
        <is>
          <t>991001390729702656</t>
        </is>
      </c>
      <c r="AY701" t="inlineStr">
        <is>
          <t>2262064130002656</t>
        </is>
      </c>
      <c r="AZ701" t="inlineStr">
        <is>
          <t>BOOK</t>
        </is>
      </c>
      <c r="BB701" t="inlineStr">
        <is>
          <t>9780713720617</t>
        </is>
      </c>
      <c r="BC701" t="inlineStr">
        <is>
          <t>32285001181691</t>
        </is>
      </c>
      <c r="BD701" t="inlineStr">
        <is>
          <t>893809052</t>
        </is>
      </c>
    </row>
    <row r="702">
      <c r="A702" t="inlineStr">
        <is>
          <t>No</t>
        </is>
      </c>
      <c r="B702" t="inlineStr">
        <is>
          <t>HV6535.M43 M483 2006</t>
        </is>
      </c>
      <c r="C702" t="inlineStr">
        <is>
          <t>0                      HV 6535000M  43                 M  483         2006</t>
        </is>
      </c>
      <c r="D702" t="inlineStr">
        <is>
          <t>Betrayed : the assassination of Digna Ochoa / Linda Diebel.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Diebel, Linda.</t>
        </is>
      </c>
      <c r="L702" t="inlineStr">
        <is>
          <t>New York, NY : Carroll &amp; Graf, 2006.</t>
        </is>
      </c>
      <c r="M702" t="inlineStr">
        <is>
          <t>2006</t>
        </is>
      </c>
      <c r="N702" t="inlineStr">
        <is>
          <t>1st Carroll &amp; Graf ed.</t>
        </is>
      </c>
      <c r="O702" t="inlineStr">
        <is>
          <t>eng</t>
        </is>
      </c>
      <c r="P702" t="inlineStr">
        <is>
          <t>nyu</t>
        </is>
      </c>
      <c r="R702" t="inlineStr">
        <is>
          <t xml:space="preserve">HV </t>
        </is>
      </c>
      <c r="S702" t="n">
        <v>1</v>
      </c>
      <c r="T702" t="n">
        <v>1</v>
      </c>
      <c r="U702" t="inlineStr">
        <is>
          <t>2006-02-23</t>
        </is>
      </c>
      <c r="V702" t="inlineStr">
        <is>
          <t>2006-02-23</t>
        </is>
      </c>
      <c r="W702" t="inlineStr">
        <is>
          <t>2006-02-15</t>
        </is>
      </c>
      <c r="X702" t="inlineStr">
        <is>
          <t>2006-02-15</t>
        </is>
      </c>
      <c r="Y702" t="n">
        <v>394</v>
      </c>
      <c r="Z702" t="n">
        <v>385</v>
      </c>
      <c r="AA702" t="n">
        <v>414</v>
      </c>
      <c r="AB702" t="n">
        <v>2</v>
      </c>
      <c r="AC702" t="n">
        <v>2</v>
      </c>
      <c r="AD702" t="n">
        <v>10</v>
      </c>
      <c r="AE702" t="n">
        <v>10</v>
      </c>
      <c r="AF702" t="n">
        <v>2</v>
      </c>
      <c r="AG702" t="n">
        <v>2</v>
      </c>
      <c r="AH702" t="n">
        <v>5</v>
      </c>
      <c r="AI702" t="n">
        <v>5</v>
      </c>
      <c r="AJ702" t="n">
        <v>4</v>
      </c>
      <c r="AK702" t="n">
        <v>4</v>
      </c>
      <c r="AL702" t="n">
        <v>0</v>
      </c>
      <c r="AM702" t="n">
        <v>0</v>
      </c>
      <c r="AN702" t="n">
        <v>1</v>
      </c>
      <c r="AO702" t="n">
        <v>1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HYPERLINK("https://creighton-primo.hosted.exlibrisgroup.com/primo-explore/search?tab=default_tab&amp;search_scope=EVERYTHING&amp;vid=01CRU&amp;lang=en_US&amp;offset=0&amp;query=any,contains,991004742989702656","Catalog Record")</f>
        <v/>
      </c>
      <c r="AT702">
        <f>HYPERLINK("http://www.worldcat.org/oclc/63045440","WorldCat Record")</f>
        <v/>
      </c>
      <c r="AU702" t="inlineStr">
        <is>
          <t>19935233:eng</t>
        </is>
      </c>
      <c r="AV702" t="inlineStr">
        <is>
          <t>63045440</t>
        </is>
      </c>
      <c r="AW702" t="inlineStr">
        <is>
          <t>991004742989702656</t>
        </is>
      </c>
      <c r="AX702" t="inlineStr">
        <is>
          <t>991004742989702656</t>
        </is>
      </c>
      <c r="AY702" t="inlineStr">
        <is>
          <t>2268392040002656</t>
        </is>
      </c>
      <c r="AZ702" t="inlineStr">
        <is>
          <t>BOOK</t>
        </is>
      </c>
      <c r="BB702" t="inlineStr">
        <is>
          <t>9780786717538</t>
        </is>
      </c>
      <c r="BC702" t="inlineStr">
        <is>
          <t>32285005160717</t>
        </is>
      </c>
      <c r="BD702" t="inlineStr">
        <is>
          <t>893694263</t>
        </is>
      </c>
    </row>
    <row r="703">
      <c r="A703" t="inlineStr">
        <is>
          <t>No</t>
        </is>
      </c>
      <c r="B703" t="inlineStr">
        <is>
          <t>HV6537 .I43</t>
        </is>
      </c>
      <c r="C703" t="inlineStr">
        <is>
          <t>0                      HV 6537000I  43</t>
        </is>
      </c>
      <c r="D703" t="inlineStr">
        <is>
          <t>Infanticide and the value of life / edited by Marvin Kohl. --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L703" t="inlineStr">
        <is>
          <t>Buffalo, N.Y. : Prometheus Books, 1978.</t>
        </is>
      </c>
      <c r="M703" t="inlineStr">
        <is>
          <t>1978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HV </t>
        </is>
      </c>
      <c r="S703" t="n">
        <v>25</v>
      </c>
      <c r="T703" t="n">
        <v>25</v>
      </c>
      <c r="U703" t="inlineStr">
        <is>
          <t>2004-12-07</t>
        </is>
      </c>
      <c r="V703" t="inlineStr">
        <is>
          <t>2004-12-07</t>
        </is>
      </c>
      <c r="W703" t="inlineStr">
        <is>
          <t>1992-04-14</t>
        </is>
      </c>
      <c r="X703" t="inlineStr">
        <is>
          <t>1992-04-14</t>
        </is>
      </c>
      <c r="Y703" t="n">
        <v>722</v>
      </c>
      <c r="Z703" t="n">
        <v>623</v>
      </c>
      <c r="AA703" t="n">
        <v>626</v>
      </c>
      <c r="AB703" t="n">
        <v>3</v>
      </c>
      <c r="AC703" t="n">
        <v>3</v>
      </c>
      <c r="AD703" t="n">
        <v>29</v>
      </c>
      <c r="AE703" t="n">
        <v>29</v>
      </c>
      <c r="AF703" t="n">
        <v>11</v>
      </c>
      <c r="AG703" t="n">
        <v>11</v>
      </c>
      <c r="AH703" t="n">
        <v>4</v>
      </c>
      <c r="AI703" t="n">
        <v>4</v>
      </c>
      <c r="AJ703" t="n">
        <v>16</v>
      </c>
      <c r="AK703" t="n">
        <v>16</v>
      </c>
      <c r="AL703" t="n">
        <v>1</v>
      </c>
      <c r="AM703" t="n">
        <v>1</v>
      </c>
      <c r="AN703" t="n">
        <v>3</v>
      </c>
      <c r="AO703" t="n">
        <v>3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HYPERLINK("http://catalog.hathitrust.org/Record/000184614","HathiTrust Record")</f>
        <v/>
      </c>
      <c r="AS703">
        <f>HYPERLINK("https://creighton-primo.hosted.exlibrisgroup.com/primo-explore/search?tab=default_tab&amp;search_scope=EVERYTHING&amp;vid=01CRU&amp;lang=en_US&amp;offset=0&amp;query=any,contains,991004639179702656","Catalog Record")</f>
        <v/>
      </c>
      <c r="AT703">
        <f>HYPERLINK("http://www.worldcat.org/oclc/4445384","WorldCat Record")</f>
        <v/>
      </c>
      <c r="AU703" t="inlineStr">
        <is>
          <t>540275:eng</t>
        </is>
      </c>
      <c r="AV703" t="inlineStr">
        <is>
          <t>4445384</t>
        </is>
      </c>
      <c r="AW703" t="inlineStr">
        <is>
          <t>991004639179702656</t>
        </is>
      </c>
      <c r="AX703" t="inlineStr">
        <is>
          <t>991004639179702656</t>
        </is>
      </c>
      <c r="AY703" t="inlineStr">
        <is>
          <t>2269655720002656</t>
        </is>
      </c>
      <c r="AZ703" t="inlineStr">
        <is>
          <t>BOOK</t>
        </is>
      </c>
      <c r="BB703" t="inlineStr">
        <is>
          <t>9780879751005</t>
        </is>
      </c>
      <c r="BC703" t="inlineStr">
        <is>
          <t>32285001036713</t>
        </is>
      </c>
      <c r="BD703" t="inlineStr">
        <is>
          <t>893628273</t>
        </is>
      </c>
    </row>
    <row r="704">
      <c r="A704" t="inlineStr">
        <is>
          <t>No</t>
        </is>
      </c>
      <c r="B704" t="inlineStr">
        <is>
          <t>HV6541.U6 I53 1982</t>
        </is>
      </c>
      <c r="C704" t="inlineStr">
        <is>
          <t>0                      HV 6541000U  6                  I  53          1982</t>
        </is>
      </c>
      <c r="D704" t="inlineStr">
        <is>
          <t>Infanticide and the handicapped newborn / edited by Dennis J. Horan, and Melinda Delahoyde.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L704" t="inlineStr">
        <is>
          <t>Provo, Utah : Brigham Young University Press, 1982.</t>
        </is>
      </c>
      <c r="M704" t="inlineStr">
        <is>
          <t>1982</t>
        </is>
      </c>
      <c r="O704" t="inlineStr">
        <is>
          <t>eng</t>
        </is>
      </c>
      <c r="P704" t="inlineStr">
        <is>
          <t>utu</t>
        </is>
      </c>
      <c r="R704" t="inlineStr">
        <is>
          <t xml:space="preserve">HV </t>
        </is>
      </c>
      <c r="S704" t="n">
        <v>17</v>
      </c>
      <c r="T704" t="n">
        <v>17</v>
      </c>
      <c r="U704" t="inlineStr">
        <is>
          <t>2002-03-21</t>
        </is>
      </c>
      <c r="V704" t="inlineStr">
        <is>
          <t>2002-03-21</t>
        </is>
      </c>
      <c r="W704" t="inlineStr">
        <is>
          <t>1990-04-20</t>
        </is>
      </c>
      <c r="X704" t="inlineStr">
        <is>
          <t>1990-04-20</t>
        </is>
      </c>
      <c r="Y704" t="n">
        <v>380</v>
      </c>
      <c r="Z704" t="n">
        <v>335</v>
      </c>
      <c r="AA704" t="n">
        <v>336</v>
      </c>
      <c r="AB704" t="n">
        <v>5</v>
      </c>
      <c r="AC704" t="n">
        <v>5</v>
      </c>
      <c r="AD704" t="n">
        <v>27</v>
      </c>
      <c r="AE704" t="n">
        <v>27</v>
      </c>
      <c r="AF704" t="n">
        <v>3</v>
      </c>
      <c r="AG704" t="n">
        <v>3</v>
      </c>
      <c r="AH704" t="n">
        <v>4</v>
      </c>
      <c r="AI704" t="n">
        <v>4</v>
      </c>
      <c r="AJ704" t="n">
        <v>12</v>
      </c>
      <c r="AK704" t="n">
        <v>12</v>
      </c>
      <c r="AL704" t="n">
        <v>2</v>
      </c>
      <c r="AM704" t="n">
        <v>2</v>
      </c>
      <c r="AN704" t="n">
        <v>11</v>
      </c>
      <c r="AO704" t="n">
        <v>11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HYPERLINK("https://creighton-primo.hosted.exlibrisgroup.com/primo-explore/search?tab=default_tab&amp;search_scope=EVERYTHING&amp;vid=01CRU&amp;lang=en_US&amp;offset=0&amp;query=any,contains,991005213519702656","Catalog Record")</f>
        <v/>
      </c>
      <c r="AT704">
        <f>HYPERLINK("http://www.worldcat.org/oclc/8171206","WorldCat Record")</f>
        <v/>
      </c>
      <c r="AU704" t="inlineStr">
        <is>
          <t>469668275:eng</t>
        </is>
      </c>
      <c r="AV704" t="inlineStr">
        <is>
          <t>8171206</t>
        </is>
      </c>
      <c r="AW704" t="inlineStr">
        <is>
          <t>991005213519702656</t>
        </is>
      </c>
      <c r="AX704" t="inlineStr">
        <is>
          <t>991005213519702656</t>
        </is>
      </c>
      <c r="AY704" t="inlineStr">
        <is>
          <t>2257167140002656</t>
        </is>
      </c>
      <c r="AZ704" t="inlineStr">
        <is>
          <t>BOOK</t>
        </is>
      </c>
      <c r="BB704" t="inlineStr">
        <is>
          <t>9780842520539</t>
        </is>
      </c>
      <c r="BC704" t="inlineStr">
        <is>
          <t>32285000123827</t>
        </is>
      </c>
      <c r="BD704" t="inlineStr">
        <is>
          <t>893801924</t>
        </is>
      </c>
    </row>
    <row r="705">
      <c r="A705" t="inlineStr">
        <is>
          <t>No</t>
        </is>
      </c>
      <c r="B705" t="inlineStr">
        <is>
          <t>HV6543 .D76 1992</t>
        </is>
      </c>
      <c r="C705" t="inlineStr">
        <is>
          <t>0                      HV 6543000D  76          1992</t>
        </is>
      </c>
      <c r="D705" t="inlineStr">
        <is>
          <t>A noble death : suicide and martyrdom among Christians and Jews in antiquity / Arthur J. Droge, James D. Tabor.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Droge, Arthur J., 1953-</t>
        </is>
      </c>
      <c r="L705" t="inlineStr">
        <is>
          <t>San Francisco : HarperSanFrancisco, c1992.</t>
        </is>
      </c>
      <c r="M705" t="inlineStr">
        <is>
          <t>1992</t>
        </is>
      </c>
      <c r="N705" t="inlineStr">
        <is>
          <t>1st ed.</t>
        </is>
      </c>
      <c r="O705" t="inlineStr">
        <is>
          <t>eng</t>
        </is>
      </c>
      <c r="P705" t="inlineStr">
        <is>
          <t>cau</t>
        </is>
      </c>
      <c r="R705" t="inlineStr">
        <is>
          <t xml:space="preserve">HV </t>
        </is>
      </c>
      <c r="S705" t="n">
        <v>26</v>
      </c>
      <c r="T705" t="n">
        <v>26</v>
      </c>
      <c r="U705" t="inlineStr">
        <is>
          <t>2003-04-29</t>
        </is>
      </c>
      <c r="V705" t="inlineStr">
        <is>
          <t>2003-04-29</t>
        </is>
      </c>
      <c r="W705" t="inlineStr">
        <is>
          <t>1992-06-12</t>
        </is>
      </c>
      <c r="X705" t="inlineStr">
        <is>
          <t>1992-06-12</t>
        </is>
      </c>
      <c r="Y705" t="n">
        <v>684</v>
      </c>
      <c r="Z705" t="n">
        <v>577</v>
      </c>
      <c r="AA705" t="n">
        <v>585</v>
      </c>
      <c r="AB705" t="n">
        <v>4</v>
      </c>
      <c r="AC705" t="n">
        <v>4</v>
      </c>
      <c r="AD705" t="n">
        <v>41</v>
      </c>
      <c r="AE705" t="n">
        <v>41</v>
      </c>
      <c r="AF705" t="n">
        <v>19</v>
      </c>
      <c r="AG705" t="n">
        <v>19</v>
      </c>
      <c r="AH705" t="n">
        <v>10</v>
      </c>
      <c r="AI705" t="n">
        <v>10</v>
      </c>
      <c r="AJ705" t="n">
        <v>21</v>
      </c>
      <c r="AK705" t="n">
        <v>21</v>
      </c>
      <c r="AL705" t="n">
        <v>2</v>
      </c>
      <c r="AM705" t="n">
        <v>2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HYPERLINK("http://catalog.hathitrust.org/Record/002526957","HathiTrust Record")</f>
        <v/>
      </c>
      <c r="AS705">
        <f>HYPERLINK("https://creighton-primo.hosted.exlibrisgroup.com/primo-explore/search?tab=default_tab&amp;search_scope=EVERYTHING&amp;vid=01CRU&amp;lang=en_US&amp;offset=0&amp;query=any,contains,991001886389702656","Catalog Record")</f>
        <v/>
      </c>
      <c r="AT705">
        <f>HYPERLINK("http://www.worldcat.org/oclc/23767319","WorldCat Record")</f>
        <v/>
      </c>
      <c r="AU705" t="inlineStr">
        <is>
          <t>364280817:eng</t>
        </is>
      </c>
      <c r="AV705" t="inlineStr">
        <is>
          <t>23767319</t>
        </is>
      </c>
      <c r="AW705" t="inlineStr">
        <is>
          <t>991001886389702656</t>
        </is>
      </c>
      <c r="AX705" t="inlineStr">
        <is>
          <t>991001886389702656</t>
        </is>
      </c>
      <c r="AY705" t="inlineStr">
        <is>
          <t>2269102320002656</t>
        </is>
      </c>
      <c r="AZ705" t="inlineStr">
        <is>
          <t>BOOK</t>
        </is>
      </c>
      <c r="BB705" t="inlineStr">
        <is>
          <t>9780060620950</t>
        </is>
      </c>
      <c r="BC705" t="inlineStr">
        <is>
          <t>32285001128825</t>
        </is>
      </c>
      <c r="BD705" t="inlineStr">
        <is>
          <t>893596805</t>
        </is>
      </c>
    </row>
    <row r="706">
      <c r="A706" t="inlineStr">
        <is>
          <t>No</t>
        </is>
      </c>
      <c r="B706" t="inlineStr">
        <is>
          <t>HV6545 .A84 1978b</t>
        </is>
      </c>
      <c r="C706" t="inlineStr">
        <is>
          <t>0                      HV 6545000A  84          1978b</t>
        </is>
      </c>
      <c r="D706" t="inlineStr">
        <is>
          <t>Discovering suicide : studies in the social organization of sudden death / J. Maxwell Atkinson.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Atkinson, J. Maxwell (John Maxwell)</t>
        </is>
      </c>
      <c r="L706" t="inlineStr">
        <is>
          <t>Pittsburgh, Pa. : University of Pittsburgh Press, 1978.</t>
        </is>
      </c>
      <c r="M706" t="inlineStr">
        <is>
          <t>1978</t>
        </is>
      </c>
      <c r="O706" t="inlineStr">
        <is>
          <t>eng</t>
        </is>
      </c>
      <c r="P706" t="inlineStr">
        <is>
          <t>pau</t>
        </is>
      </c>
      <c r="R706" t="inlineStr">
        <is>
          <t xml:space="preserve">HV </t>
        </is>
      </c>
      <c r="S706" t="n">
        <v>3</v>
      </c>
      <c r="T706" t="n">
        <v>3</v>
      </c>
      <c r="U706" t="inlineStr">
        <is>
          <t>2005-11-18</t>
        </is>
      </c>
      <c r="V706" t="inlineStr">
        <is>
          <t>2005-11-18</t>
        </is>
      </c>
      <c r="W706" t="inlineStr">
        <is>
          <t>1994-12-08</t>
        </is>
      </c>
      <c r="X706" t="inlineStr">
        <is>
          <t>1994-12-08</t>
        </is>
      </c>
      <c r="Y706" t="n">
        <v>319</v>
      </c>
      <c r="Z706" t="n">
        <v>288</v>
      </c>
      <c r="AA706" t="n">
        <v>312</v>
      </c>
      <c r="AB706" t="n">
        <v>5</v>
      </c>
      <c r="AC706" t="n">
        <v>5</v>
      </c>
      <c r="AD706" t="n">
        <v>13</v>
      </c>
      <c r="AE706" t="n">
        <v>14</v>
      </c>
      <c r="AF706" t="n">
        <v>2</v>
      </c>
      <c r="AG706" t="n">
        <v>3</v>
      </c>
      <c r="AH706" t="n">
        <v>5</v>
      </c>
      <c r="AI706" t="n">
        <v>5</v>
      </c>
      <c r="AJ706" t="n">
        <v>7</v>
      </c>
      <c r="AK706" t="n">
        <v>8</v>
      </c>
      <c r="AL706" t="n">
        <v>2</v>
      </c>
      <c r="AM706" t="n">
        <v>2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HYPERLINK("http://catalog.hathitrust.org/Record/000295597","HathiTrust Record")</f>
        <v/>
      </c>
      <c r="AS706">
        <f>HYPERLINK("https://creighton-primo.hosted.exlibrisgroup.com/primo-explore/search?tab=default_tab&amp;search_scope=EVERYTHING&amp;vid=01CRU&amp;lang=en_US&amp;offset=0&amp;query=any,contains,991004381969702656","Catalog Record")</f>
        <v/>
      </c>
      <c r="AT706">
        <f>HYPERLINK("http://www.worldcat.org/oclc/3223851","WorldCat Record")</f>
        <v/>
      </c>
      <c r="AU706" t="inlineStr">
        <is>
          <t>806973215:eng</t>
        </is>
      </c>
      <c r="AV706" t="inlineStr">
        <is>
          <t>3223851</t>
        </is>
      </c>
      <c r="AW706" t="inlineStr">
        <is>
          <t>991004381969702656</t>
        </is>
      </c>
      <c r="AX706" t="inlineStr">
        <is>
          <t>991004381969702656</t>
        </is>
      </c>
      <c r="AY706" t="inlineStr">
        <is>
          <t>2259034810002656</t>
        </is>
      </c>
      <c r="AZ706" t="inlineStr">
        <is>
          <t>BOOK</t>
        </is>
      </c>
      <c r="BB706" t="inlineStr">
        <is>
          <t>9780822911302</t>
        </is>
      </c>
      <c r="BC706" t="inlineStr">
        <is>
          <t>32285001980951</t>
        </is>
      </c>
      <c r="BD706" t="inlineStr">
        <is>
          <t>893775954</t>
        </is>
      </c>
    </row>
    <row r="707">
      <c r="A707" t="inlineStr">
        <is>
          <t>No</t>
        </is>
      </c>
      <c r="B707" t="inlineStr">
        <is>
          <t>HV6545 .B26</t>
        </is>
      </c>
      <c r="C707" t="inlineStr">
        <is>
          <t>0                      HV 6545000B  26</t>
        </is>
      </c>
      <c r="D707" t="inlineStr">
        <is>
          <t>Ethical issues in suicide / Margaret Pabst Battin.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Battin, M. Pabst.</t>
        </is>
      </c>
      <c r="L707" t="inlineStr">
        <is>
          <t>Englewood Cliffs, N.J. : Prentice-Hall, c1982.</t>
        </is>
      </c>
      <c r="M707" t="inlineStr">
        <is>
          <t>1982</t>
        </is>
      </c>
      <c r="O707" t="inlineStr">
        <is>
          <t>eng</t>
        </is>
      </c>
      <c r="P707" t="inlineStr">
        <is>
          <t>nju</t>
        </is>
      </c>
      <c r="Q707" t="inlineStr">
        <is>
          <t>Prentice-Hall series in the philosophy of medicine</t>
        </is>
      </c>
      <c r="R707" t="inlineStr">
        <is>
          <t xml:space="preserve">HV </t>
        </is>
      </c>
      <c r="S707" t="n">
        <v>34</v>
      </c>
      <c r="T707" t="n">
        <v>34</v>
      </c>
      <c r="U707" t="inlineStr">
        <is>
          <t>2002-12-11</t>
        </is>
      </c>
      <c r="V707" t="inlineStr">
        <is>
          <t>2002-12-11</t>
        </is>
      </c>
      <c r="W707" t="inlineStr">
        <is>
          <t>1991-12-13</t>
        </is>
      </c>
      <c r="X707" t="inlineStr">
        <is>
          <t>1991-12-13</t>
        </is>
      </c>
      <c r="Y707" t="n">
        <v>543</v>
      </c>
      <c r="Z707" t="n">
        <v>454</v>
      </c>
      <c r="AA707" t="n">
        <v>757</v>
      </c>
      <c r="AB707" t="n">
        <v>4</v>
      </c>
      <c r="AC707" t="n">
        <v>5</v>
      </c>
      <c r="AD707" t="n">
        <v>16</v>
      </c>
      <c r="AE707" t="n">
        <v>30</v>
      </c>
      <c r="AF707" t="n">
        <v>4</v>
      </c>
      <c r="AG707" t="n">
        <v>11</v>
      </c>
      <c r="AH707" t="n">
        <v>1</v>
      </c>
      <c r="AI707" t="n">
        <v>4</v>
      </c>
      <c r="AJ707" t="n">
        <v>10</v>
      </c>
      <c r="AK707" t="n">
        <v>17</v>
      </c>
      <c r="AL707" t="n">
        <v>3</v>
      </c>
      <c r="AM707" t="n">
        <v>4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HYPERLINK("https://creighton-primo.hosted.exlibrisgroup.com/primo-explore/search?tab=default_tab&amp;search_scope=EVERYTHING&amp;vid=01CRU&amp;lang=en_US&amp;offset=0&amp;query=any,contains,991005178289702656","Catalog Record")</f>
        <v/>
      </c>
      <c r="AT707">
        <f>HYPERLINK("http://www.worldcat.org/oclc/7925709","WorldCat Record")</f>
        <v/>
      </c>
      <c r="AU707" t="inlineStr">
        <is>
          <t>30306192:eng</t>
        </is>
      </c>
      <c r="AV707" t="inlineStr">
        <is>
          <t>7925709</t>
        </is>
      </c>
      <c r="AW707" t="inlineStr">
        <is>
          <t>991005178289702656</t>
        </is>
      </c>
      <c r="AX707" t="inlineStr">
        <is>
          <t>991005178289702656</t>
        </is>
      </c>
      <c r="AY707" t="inlineStr">
        <is>
          <t>2270128650002656</t>
        </is>
      </c>
      <c r="AZ707" t="inlineStr">
        <is>
          <t>BOOK</t>
        </is>
      </c>
      <c r="BB707" t="inlineStr">
        <is>
          <t>9780132901550</t>
        </is>
      </c>
      <c r="BC707" t="inlineStr">
        <is>
          <t>32285000900968</t>
        </is>
      </c>
      <c r="BD707" t="inlineStr">
        <is>
          <t>893350859</t>
        </is>
      </c>
    </row>
    <row r="708">
      <c r="A708" t="inlineStr">
        <is>
          <t>No</t>
        </is>
      </c>
      <c r="B708" t="inlineStr">
        <is>
          <t>HV6545 .C47</t>
        </is>
      </c>
      <c r="C708" t="inlineStr">
        <is>
          <t>0                      HV 6545000C  47</t>
        </is>
      </c>
      <c r="D708" t="inlineStr">
        <is>
          <t>Suicide.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Choron, Jacques.</t>
        </is>
      </c>
      <c r="L708" t="inlineStr">
        <is>
          <t>New York : Scribner, [1972]</t>
        </is>
      </c>
      <c r="M708" t="inlineStr">
        <is>
          <t>1972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HV </t>
        </is>
      </c>
      <c r="S708" t="n">
        <v>8</v>
      </c>
      <c r="T708" t="n">
        <v>8</v>
      </c>
      <c r="U708" t="inlineStr">
        <is>
          <t>2006-11-15</t>
        </is>
      </c>
      <c r="V708" t="inlineStr">
        <is>
          <t>2006-11-15</t>
        </is>
      </c>
      <c r="W708" t="inlineStr">
        <is>
          <t>1992-04-15</t>
        </is>
      </c>
      <c r="X708" t="inlineStr">
        <is>
          <t>1992-04-15</t>
        </is>
      </c>
      <c r="Y708" t="n">
        <v>596</v>
      </c>
      <c r="Z708" t="n">
        <v>526</v>
      </c>
      <c r="AA708" t="n">
        <v>528</v>
      </c>
      <c r="AB708" t="n">
        <v>7</v>
      </c>
      <c r="AC708" t="n">
        <v>7</v>
      </c>
      <c r="AD708" t="n">
        <v>20</v>
      </c>
      <c r="AE708" t="n">
        <v>20</v>
      </c>
      <c r="AF708" t="n">
        <v>6</v>
      </c>
      <c r="AG708" t="n">
        <v>6</v>
      </c>
      <c r="AH708" t="n">
        <v>4</v>
      </c>
      <c r="AI708" t="n">
        <v>4</v>
      </c>
      <c r="AJ708" t="n">
        <v>11</v>
      </c>
      <c r="AK708" t="n">
        <v>11</v>
      </c>
      <c r="AL708" t="n">
        <v>5</v>
      </c>
      <c r="AM708" t="n">
        <v>5</v>
      </c>
      <c r="AN708" t="n">
        <v>1</v>
      </c>
      <c r="AO708" t="n">
        <v>1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HYPERLINK("http://catalog.hathitrust.org/Record/000003501","HathiTrust Record")</f>
        <v/>
      </c>
      <c r="AS708">
        <f>HYPERLINK("https://creighton-primo.hosted.exlibrisgroup.com/primo-explore/search?tab=default_tab&amp;search_scope=EVERYTHING&amp;vid=01CRU&amp;lang=en_US&amp;offset=0&amp;query=any,contains,991001906819702656","Catalog Record")</f>
        <v/>
      </c>
      <c r="AT708">
        <f>HYPERLINK("http://www.worldcat.org/oclc/240892","WorldCat Record")</f>
        <v/>
      </c>
      <c r="AU708" t="inlineStr">
        <is>
          <t>1384636:eng</t>
        </is>
      </c>
      <c r="AV708" t="inlineStr">
        <is>
          <t>240892</t>
        </is>
      </c>
      <c r="AW708" t="inlineStr">
        <is>
          <t>991001906819702656</t>
        </is>
      </c>
      <c r="AX708" t="inlineStr">
        <is>
          <t>991001906819702656</t>
        </is>
      </c>
      <c r="AY708" t="inlineStr">
        <is>
          <t>2272293280002656</t>
        </is>
      </c>
      <c r="AZ708" t="inlineStr">
        <is>
          <t>BOOK</t>
        </is>
      </c>
      <c r="BB708" t="inlineStr">
        <is>
          <t>9780684125770</t>
        </is>
      </c>
      <c r="BC708" t="inlineStr">
        <is>
          <t>32285001061000</t>
        </is>
      </c>
      <c r="BD708" t="inlineStr">
        <is>
          <t>893340813</t>
        </is>
      </c>
    </row>
    <row r="709">
      <c r="A709" t="inlineStr">
        <is>
          <t>No</t>
        </is>
      </c>
      <c r="B709" t="inlineStr">
        <is>
          <t>HV6545 .C6 1969</t>
        </is>
      </c>
      <c r="C709" t="inlineStr">
        <is>
          <t>0                      HV 6545000C  6           1969</t>
        </is>
      </c>
      <c r="D709" t="inlineStr">
        <is>
          <t>Identifying suicide potential : conference proceedings / edited and with commentaries by Dorothy B. Anderson and Lenora J. McClean.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Conference on Identifying Suicide Potential (1969 : Columbia University. Teachers College)</t>
        </is>
      </c>
      <c r="L709" t="inlineStr">
        <is>
          <t>New York : Behavioral Publications, [1971]</t>
        </is>
      </c>
      <c r="M709" t="inlineStr">
        <is>
          <t>1971</t>
        </is>
      </c>
      <c r="O709" t="inlineStr">
        <is>
          <t>eng</t>
        </is>
      </c>
      <c r="P709" t="inlineStr">
        <is>
          <t>nyu</t>
        </is>
      </c>
      <c r="Q709" t="inlineStr">
        <is>
          <t>Social problems series</t>
        </is>
      </c>
      <c r="R709" t="inlineStr">
        <is>
          <t xml:space="preserve">HV </t>
        </is>
      </c>
      <c r="S709" t="n">
        <v>5</v>
      </c>
      <c r="T709" t="n">
        <v>5</v>
      </c>
      <c r="U709" t="inlineStr">
        <is>
          <t>2005-06-07</t>
        </is>
      </c>
      <c r="V709" t="inlineStr">
        <is>
          <t>2005-06-07</t>
        </is>
      </c>
      <c r="W709" t="inlineStr">
        <is>
          <t>1992-02-26</t>
        </is>
      </c>
      <c r="X709" t="inlineStr">
        <is>
          <t>1992-02-26</t>
        </is>
      </c>
      <c r="Y709" t="n">
        <v>548</v>
      </c>
      <c r="Z709" t="n">
        <v>484</v>
      </c>
      <c r="AA709" t="n">
        <v>491</v>
      </c>
      <c r="AB709" t="n">
        <v>5</v>
      </c>
      <c r="AC709" t="n">
        <v>5</v>
      </c>
      <c r="AD709" t="n">
        <v>23</v>
      </c>
      <c r="AE709" t="n">
        <v>23</v>
      </c>
      <c r="AF709" t="n">
        <v>5</v>
      </c>
      <c r="AG709" t="n">
        <v>5</v>
      </c>
      <c r="AH709" t="n">
        <v>8</v>
      </c>
      <c r="AI709" t="n">
        <v>8</v>
      </c>
      <c r="AJ709" t="n">
        <v>10</v>
      </c>
      <c r="AK709" t="n">
        <v>10</v>
      </c>
      <c r="AL709" t="n">
        <v>4</v>
      </c>
      <c r="AM709" t="n">
        <v>4</v>
      </c>
      <c r="AN709" t="n">
        <v>1</v>
      </c>
      <c r="AO709" t="n">
        <v>1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HYPERLINK("http://catalog.hathitrust.org/Record/000002480","HathiTrust Record")</f>
        <v/>
      </c>
      <c r="AS709">
        <f>HYPERLINK("https://creighton-primo.hosted.exlibrisgroup.com/primo-explore/search?tab=default_tab&amp;search_scope=EVERYTHING&amp;vid=01CRU&amp;lang=en_US&amp;offset=0&amp;query=any,contains,991000932649702656","Catalog Record")</f>
        <v/>
      </c>
      <c r="AT709">
        <f>HYPERLINK("http://www.worldcat.org/oclc/163910","WorldCat Record")</f>
        <v/>
      </c>
      <c r="AU709" t="inlineStr">
        <is>
          <t>3943335119:eng</t>
        </is>
      </c>
      <c r="AV709" t="inlineStr">
        <is>
          <t>163910</t>
        </is>
      </c>
      <c r="AW709" t="inlineStr">
        <is>
          <t>991000932649702656</t>
        </is>
      </c>
      <c r="AX709" t="inlineStr">
        <is>
          <t>991000932649702656</t>
        </is>
      </c>
      <c r="AY709" t="inlineStr">
        <is>
          <t>2272260780002656</t>
        </is>
      </c>
      <c r="AZ709" t="inlineStr">
        <is>
          <t>BOOK</t>
        </is>
      </c>
      <c r="BB709" t="inlineStr">
        <is>
          <t>9780877050247</t>
        </is>
      </c>
      <c r="BC709" t="inlineStr">
        <is>
          <t>32285000975143</t>
        </is>
      </c>
      <c r="BD709" t="inlineStr">
        <is>
          <t>893502945</t>
        </is>
      </c>
    </row>
    <row r="710">
      <c r="A710" t="inlineStr">
        <is>
          <t>No</t>
        </is>
      </c>
      <c r="B710" t="inlineStr">
        <is>
          <t>HV6545 .D6</t>
        </is>
      </c>
      <c r="C710" t="inlineStr">
        <is>
          <t>0                      HV 6545000D  6</t>
        </is>
      </c>
      <c r="D710" t="inlineStr">
        <is>
          <t>The social meanings of suicide / by Jack D. Douglas.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Douglas, Jack D.</t>
        </is>
      </c>
      <c r="L710" t="inlineStr">
        <is>
          <t>Princeton. N.J. : Princeton University Press, 1967.</t>
        </is>
      </c>
      <c r="M710" t="inlineStr">
        <is>
          <t>1967</t>
        </is>
      </c>
      <c r="O710" t="inlineStr">
        <is>
          <t>eng</t>
        </is>
      </c>
      <c r="P710" t="inlineStr">
        <is>
          <t>nju</t>
        </is>
      </c>
      <c r="R710" t="inlineStr">
        <is>
          <t xml:space="preserve">HV </t>
        </is>
      </c>
      <c r="S710" t="n">
        <v>10</v>
      </c>
      <c r="T710" t="n">
        <v>10</v>
      </c>
      <c r="U710" t="inlineStr">
        <is>
          <t>2000-11-30</t>
        </is>
      </c>
      <c r="V710" t="inlineStr">
        <is>
          <t>2000-11-30</t>
        </is>
      </c>
      <c r="W710" t="inlineStr">
        <is>
          <t>1992-03-11</t>
        </is>
      </c>
      <c r="X710" t="inlineStr">
        <is>
          <t>1992-03-11</t>
        </is>
      </c>
      <c r="Y710" t="n">
        <v>1053</v>
      </c>
      <c r="Z710" t="n">
        <v>830</v>
      </c>
      <c r="AA710" t="n">
        <v>1116</v>
      </c>
      <c r="AB710" t="n">
        <v>6</v>
      </c>
      <c r="AC710" t="n">
        <v>11</v>
      </c>
      <c r="AD710" t="n">
        <v>34</v>
      </c>
      <c r="AE710" t="n">
        <v>48</v>
      </c>
      <c r="AF710" t="n">
        <v>11</v>
      </c>
      <c r="AG710" t="n">
        <v>19</v>
      </c>
      <c r="AH710" t="n">
        <v>8</v>
      </c>
      <c r="AI710" t="n">
        <v>10</v>
      </c>
      <c r="AJ710" t="n">
        <v>14</v>
      </c>
      <c r="AK710" t="n">
        <v>19</v>
      </c>
      <c r="AL710" t="n">
        <v>5</v>
      </c>
      <c r="AM710" t="n">
        <v>9</v>
      </c>
      <c r="AN710" t="n">
        <v>3</v>
      </c>
      <c r="AO710" t="n">
        <v>3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HYPERLINK("https://creighton-primo.hosted.exlibrisgroup.com/primo-explore/search?tab=default_tab&amp;search_scope=EVERYTHING&amp;vid=01CRU&amp;lang=en_US&amp;offset=0&amp;query=any,contains,991002380649702656","Catalog Record")</f>
        <v/>
      </c>
      <c r="AT710">
        <f>HYPERLINK("http://www.worldcat.org/oclc/328277","WorldCat Record")</f>
        <v/>
      </c>
      <c r="AU710" t="inlineStr">
        <is>
          <t>441016:eng</t>
        </is>
      </c>
      <c r="AV710" t="inlineStr">
        <is>
          <t>328277</t>
        </is>
      </c>
      <c r="AW710" t="inlineStr">
        <is>
          <t>991002380649702656</t>
        </is>
      </c>
      <c r="AX710" t="inlineStr">
        <is>
          <t>991002380649702656</t>
        </is>
      </c>
      <c r="AY710" t="inlineStr">
        <is>
          <t>2271483110002656</t>
        </is>
      </c>
      <c r="AZ710" t="inlineStr">
        <is>
          <t>BOOK</t>
        </is>
      </c>
      <c r="BC710" t="inlineStr">
        <is>
          <t>32285000996651</t>
        </is>
      </c>
      <c r="BD710" t="inlineStr">
        <is>
          <t>893773548</t>
        </is>
      </c>
    </row>
    <row r="711">
      <c r="A711" t="inlineStr">
        <is>
          <t>No</t>
        </is>
      </c>
      <c r="B711" t="inlineStr">
        <is>
          <t>HV6545 .D812</t>
        </is>
      </c>
      <c r="C711" t="inlineStr">
        <is>
          <t>0                      HV 6545000D  812</t>
        </is>
      </c>
      <c r="D711" t="inlineStr">
        <is>
          <t>Suicide, a study in sociology / translated by John A. Spaulding and George Simpson. Edited, with an introd., by George Simpson.</t>
        </is>
      </c>
      <c r="F711" t="inlineStr">
        <is>
          <t>No</t>
        </is>
      </c>
      <c r="G711" t="inlineStr">
        <is>
          <t>1</t>
        </is>
      </c>
      <c r="H711" t="inlineStr">
        <is>
          <t>Yes</t>
        </is>
      </c>
      <c r="I711" t="inlineStr">
        <is>
          <t>No</t>
        </is>
      </c>
      <c r="J711" t="inlineStr">
        <is>
          <t>0</t>
        </is>
      </c>
      <c r="K711" t="inlineStr">
        <is>
          <t>Durkheim, Émile, 1858-1917.</t>
        </is>
      </c>
      <c r="L711" t="inlineStr">
        <is>
          <t>Glencoe, Ill. : Free Press, [1951]</t>
        </is>
      </c>
      <c r="M711" t="inlineStr">
        <is>
          <t>1951</t>
        </is>
      </c>
      <c r="O711" t="inlineStr">
        <is>
          <t>eng</t>
        </is>
      </c>
      <c r="P711" t="inlineStr">
        <is>
          <t>ilu</t>
        </is>
      </c>
      <c r="R711" t="inlineStr">
        <is>
          <t xml:space="preserve">HV </t>
        </is>
      </c>
      <c r="S711" t="n">
        <v>22</v>
      </c>
      <c r="T711" t="n">
        <v>24</v>
      </c>
      <c r="U711" t="inlineStr">
        <is>
          <t>2010-09-28</t>
        </is>
      </c>
      <c r="V711" t="inlineStr">
        <is>
          <t>2010-09-28</t>
        </is>
      </c>
      <c r="W711" t="inlineStr">
        <is>
          <t>1991-10-07</t>
        </is>
      </c>
      <c r="X711" t="inlineStr">
        <is>
          <t>1991-10-07</t>
        </is>
      </c>
      <c r="Y711" t="n">
        <v>1533</v>
      </c>
      <c r="Z711" t="n">
        <v>1336</v>
      </c>
      <c r="AA711" t="n">
        <v>2061</v>
      </c>
      <c r="AB711" t="n">
        <v>11</v>
      </c>
      <c r="AC711" t="n">
        <v>15</v>
      </c>
      <c r="AD711" t="n">
        <v>53</v>
      </c>
      <c r="AE711" t="n">
        <v>65</v>
      </c>
      <c r="AF711" t="n">
        <v>19</v>
      </c>
      <c r="AG711" t="n">
        <v>24</v>
      </c>
      <c r="AH711" t="n">
        <v>11</v>
      </c>
      <c r="AI711" t="n">
        <v>11</v>
      </c>
      <c r="AJ711" t="n">
        <v>23</v>
      </c>
      <c r="AK711" t="n">
        <v>28</v>
      </c>
      <c r="AL711" t="n">
        <v>9</v>
      </c>
      <c r="AM711" t="n">
        <v>12</v>
      </c>
      <c r="AN711" t="n">
        <v>2</v>
      </c>
      <c r="AO711" t="n">
        <v>2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HYPERLINK("http://catalog.hathitrust.org/Record/000003838","HathiTrust Record")</f>
        <v/>
      </c>
      <c r="AS711">
        <f>HYPERLINK("https://creighton-primo.hosted.exlibrisgroup.com/primo-explore/search?tab=default_tab&amp;search_scope=EVERYTHING&amp;vid=01CRU&amp;lang=en_US&amp;offset=0&amp;query=any,contains,991001800339702656","Catalog Record")</f>
        <v/>
      </c>
      <c r="AT711">
        <f>HYPERLINK("http://www.worldcat.org/oclc/265046","WorldCat Record")</f>
        <v/>
      </c>
      <c r="AU711" t="inlineStr">
        <is>
          <t>3943353589:eng</t>
        </is>
      </c>
      <c r="AV711" t="inlineStr">
        <is>
          <t>265046</t>
        </is>
      </c>
      <c r="AW711" t="inlineStr">
        <is>
          <t>991001800339702656</t>
        </is>
      </c>
      <c r="AX711" t="inlineStr">
        <is>
          <t>991001800339702656</t>
        </is>
      </c>
      <c r="AY711" t="inlineStr">
        <is>
          <t>2265238620002656</t>
        </is>
      </c>
      <c r="AZ711" t="inlineStr">
        <is>
          <t>BOOK</t>
        </is>
      </c>
      <c r="BC711" t="inlineStr">
        <is>
          <t>32285000763697</t>
        </is>
      </c>
      <c r="BD711" t="inlineStr">
        <is>
          <t>893715736</t>
        </is>
      </c>
    </row>
    <row r="712">
      <c r="A712" t="inlineStr">
        <is>
          <t>No</t>
        </is>
      </c>
      <c r="B712" t="inlineStr">
        <is>
          <t>HV6545 .F34</t>
        </is>
      </c>
      <c r="C712" t="inlineStr">
        <is>
          <t>0                      HV 6545000F  34</t>
        </is>
      </c>
      <c r="D712" t="inlineStr">
        <is>
          <t>Theory of suicide / [by] Maurice L. Farber.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Farber, Maurice L., 1912-</t>
        </is>
      </c>
      <c r="L712" t="inlineStr">
        <is>
          <t>New York : Funk &amp; Wagnalls, [1968, c1968]</t>
        </is>
      </c>
      <c r="M712" t="inlineStr">
        <is>
          <t>1968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HV </t>
        </is>
      </c>
      <c r="S712" t="n">
        <v>12</v>
      </c>
      <c r="T712" t="n">
        <v>12</v>
      </c>
      <c r="U712" t="inlineStr">
        <is>
          <t>1998-11-30</t>
        </is>
      </c>
      <c r="V712" t="inlineStr">
        <is>
          <t>1998-11-30</t>
        </is>
      </c>
      <c r="W712" t="inlineStr">
        <is>
          <t>1992-01-20</t>
        </is>
      </c>
      <c r="X712" t="inlineStr">
        <is>
          <t>1992-01-20</t>
        </is>
      </c>
      <c r="Y712" t="n">
        <v>529</v>
      </c>
      <c r="Z712" t="n">
        <v>461</v>
      </c>
      <c r="AA712" t="n">
        <v>586</v>
      </c>
      <c r="AB712" t="n">
        <v>6</v>
      </c>
      <c r="AC712" t="n">
        <v>6</v>
      </c>
      <c r="AD712" t="n">
        <v>21</v>
      </c>
      <c r="AE712" t="n">
        <v>25</v>
      </c>
      <c r="AF712" t="n">
        <v>4</v>
      </c>
      <c r="AG712" t="n">
        <v>8</v>
      </c>
      <c r="AH712" t="n">
        <v>6</v>
      </c>
      <c r="AI712" t="n">
        <v>6</v>
      </c>
      <c r="AJ712" t="n">
        <v>10</v>
      </c>
      <c r="AK712" t="n">
        <v>10</v>
      </c>
      <c r="AL712" t="n">
        <v>4</v>
      </c>
      <c r="AM712" t="n">
        <v>4</v>
      </c>
      <c r="AN712" t="n">
        <v>2</v>
      </c>
      <c r="AO712" t="n">
        <v>2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HYPERLINK("http://catalog.hathitrust.org/Record/001120364","HathiTrust Record")</f>
        <v/>
      </c>
      <c r="AS712">
        <f>HYPERLINK("https://creighton-primo.hosted.exlibrisgroup.com/primo-explore/search?tab=default_tab&amp;search_scope=EVERYTHING&amp;vid=01CRU&amp;lang=en_US&amp;offset=0&amp;query=any,contains,991000941339702656","Catalog Record")</f>
        <v/>
      </c>
      <c r="AT712">
        <f>HYPERLINK("http://www.worldcat.org/oclc/166248","WorldCat Record")</f>
        <v/>
      </c>
      <c r="AU712" t="inlineStr">
        <is>
          <t>477165:eng</t>
        </is>
      </c>
      <c r="AV712" t="inlineStr">
        <is>
          <t>166248</t>
        </is>
      </c>
      <c r="AW712" t="inlineStr">
        <is>
          <t>991000941339702656</t>
        </is>
      </c>
      <c r="AX712" t="inlineStr">
        <is>
          <t>991000941339702656</t>
        </is>
      </c>
      <c r="AY712" t="inlineStr">
        <is>
          <t>2271294810002656</t>
        </is>
      </c>
      <c r="AZ712" t="inlineStr">
        <is>
          <t>BOOK</t>
        </is>
      </c>
      <c r="BC712" t="inlineStr">
        <is>
          <t>32285000915768</t>
        </is>
      </c>
      <c r="BD712" t="inlineStr">
        <is>
          <t>893327737</t>
        </is>
      </c>
    </row>
    <row r="713">
      <c r="A713" t="inlineStr">
        <is>
          <t>No</t>
        </is>
      </c>
      <c r="B713" t="inlineStr">
        <is>
          <t>HV6545 .G5</t>
        </is>
      </c>
      <c r="C713" t="inlineStr">
        <is>
          <t>0                      HV 6545000G  5</t>
        </is>
      </c>
      <c r="D713" t="inlineStr">
        <is>
          <t>Status integration and suicide : a sociological study / by Jack P. Gibbs and Walter T. Martin.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Gibbs, Jack P.</t>
        </is>
      </c>
      <c r="L713" t="inlineStr">
        <is>
          <t>Eugene, Or. : University of Oregon Books, 1964.</t>
        </is>
      </c>
      <c r="M713" t="inlineStr">
        <is>
          <t>1964</t>
        </is>
      </c>
      <c r="O713" t="inlineStr">
        <is>
          <t>eng</t>
        </is>
      </c>
      <c r="P713" t="inlineStr">
        <is>
          <t xml:space="preserve">xx </t>
        </is>
      </c>
      <c r="R713" t="inlineStr">
        <is>
          <t xml:space="preserve">HV </t>
        </is>
      </c>
      <c r="S713" t="n">
        <v>12</v>
      </c>
      <c r="T713" t="n">
        <v>12</v>
      </c>
      <c r="U713" t="inlineStr">
        <is>
          <t>2009-11-02</t>
        </is>
      </c>
      <c r="V713" t="inlineStr">
        <is>
          <t>2009-11-02</t>
        </is>
      </c>
      <c r="W713" t="inlineStr">
        <is>
          <t>1990-10-05</t>
        </is>
      </c>
      <c r="X713" t="inlineStr">
        <is>
          <t>1990-10-05</t>
        </is>
      </c>
      <c r="Y713" t="n">
        <v>487</v>
      </c>
      <c r="Z713" t="n">
        <v>390</v>
      </c>
      <c r="AA713" t="n">
        <v>401</v>
      </c>
      <c r="AB713" t="n">
        <v>3</v>
      </c>
      <c r="AC713" t="n">
        <v>3</v>
      </c>
      <c r="AD713" t="n">
        <v>21</v>
      </c>
      <c r="AE713" t="n">
        <v>23</v>
      </c>
      <c r="AF713" t="n">
        <v>6</v>
      </c>
      <c r="AG713" t="n">
        <v>7</v>
      </c>
      <c r="AH713" t="n">
        <v>6</v>
      </c>
      <c r="AI713" t="n">
        <v>7</v>
      </c>
      <c r="AJ713" t="n">
        <v>10</v>
      </c>
      <c r="AK713" t="n">
        <v>11</v>
      </c>
      <c r="AL713" t="n">
        <v>2</v>
      </c>
      <c r="AM713" t="n">
        <v>2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HYPERLINK("http://catalog.hathitrust.org/Record/001134423","HathiTrust Record")</f>
        <v/>
      </c>
      <c r="AS713">
        <f>HYPERLINK("https://creighton-primo.hosted.exlibrisgroup.com/primo-explore/search?tab=default_tab&amp;search_scope=EVERYTHING&amp;vid=01CRU&amp;lang=en_US&amp;offset=0&amp;query=any,contains,991001913969702656","Catalog Record")</f>
        <v/>
      </c>
      <c r="AT713">
        <f>HYPERLINK("http://www.worldcat.org/oclc/14611010","WorldCat Record")</f>
        <v/>
      </c>
      <c r="AU713" t="inlineStr">
        <is>
          <t>1391802:eng</t>
        </is>
      </c>
      <c r="AV713" t="inlineStr">
        <is>
          <t>14611010</t>
        </is>
      </c>
      <c r="AW713" t="inlineStr">
        <is>
          <t>991001913969702656</t>
        </is>
      </c>
      <c r="AX713" t="inlineStr">
        <is>
          <t>991001913969702656</t>
        </is>
      </c>
      <c r="AY713" t="inlineStr">
        <is>
          <t>2270643230002656</t>
        </is>
      </c>
      <c r="AZ713" t="inlineStr">
        <is>
          <t>BOOK</t>
        </is>
      </c>
      <c r="BC713" t="inlineStr">
        <is>
          <t>32285000332923</t>
        </is>
      </c>
      <c r="BD713" t="inlineStr">
        <is>
          <t>893522962</t>
        </is>
      </c>
    </row>
    <row r="714">
      <c r="A714" t="inlineStr">
        <is>
          <t>No</t>
        </is>
      </c>
      <c r="B714" t="inlineStr">
        <is>
          <t>HV6545 .G53</t>
        </is>
      </c>
      <c r="C714" t="inlineStr">
        <is>
          <t>0                      HV 6545000G  53</t>
        </is>
      </c>
      <c r="D714" t="inlineStr">
        <is>
          <t>Suicide / Jack P. Gibbs, editor.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Gibbs, Jack P., compiler.</t>
        </is>
      </c>
      <c r="L714" t="inlineStr">
        <is>
          <t>New York : Harper &amp; Row, [1968]</t>
        </is>
      </c>
      <c r="M714" t="inlineStr">
        <is>
          <t>1968</t>
        </is>
      </c>
      <c r="O714" t="inlineStr">
        <is>
          <t>eng</t>
        </is>
      </c>
      <c r="P714" t="inlineStr">
        <is>
          <t>nyu</t>
        </is>
      </c>
      <c r="Q714" t="inlineStr">
        <is>
          <t>Readers in social problems</t>
        </is>
      </c>
      <c r="R714" t="inlineStr">
        <is>
          <t xml:space="preserve">HV </t>
        </is>
      </c>
      <c r="S714" t="n">
        <v>3</v>
      </c>
      <c r="T714" t="n">
        <v>3</v>
      </c>
      <c r="U714" t="inlineStr">
        <is>
          <t>1997-11-08</t>
        </is>
      </c>
      <c r="V714" t="inlineStr">
        <is>
          <t>1997-11-08</t>
        </is>
      </c>
      <c r="W714" t="inlineStr">
        <is>
          <t>1990-10-05</t>
        </is>
      </c>
      <c r="X714" t="inlineStr">
        <is>
          <t>1990-10-05</t>
        </is>
      </c>
      <c r="Y714" t="n">
        <v>620</v>
      </c>
      <c r="Z714" t="n">
        <v>463</v>
      </c>
      <c r="AA714" t="n">
        <v>473</v>
      </c>
      <c r="AB714" t="n">
        <v>3</v>
      </c>
      <c r="AC714" t="n">
        <v>4</v>
      </c>
      <c r="AD714" t="n">
        <v>17</v>
      </c>
      <c r="AE714" t="n">
        <v>18</v>
      </c>
      <c r="AF714" t="n">
        <v>3</v>
      </c>
      <c r="AG714" t="n">
        <v>3</v>
      </c>
      <c r="AH714" t="n">
        <v>2</v>
      </c>
      <c r="AI714" t="n">
        <v>2</v>
      </c>
      <c r="AJ714" t="n">
        <v>9</v>
      </c>
      <c r="AK714" t="n">
        <v>9</v>
      </c>
      <c r="AL714" t="n">
        <v>2</v>
      </c>
      <c r="AM714" t="n">
        <v>3</v>
      </c>
      <c r="AN714" t="n">
        <v>1</v>
      </c>
      <c r="AO714" t="n">
        <v>1</v>
      </c>
      <c r="AP714" t="inlineStr">
        <is>
          <t>No</t>
        </is>
      </c>
      <c r="AQ714" t="inlineStr">
        <is>
          <t>Yes</t>
        </is>
      </c>
      <c r="AR714">
        <f>HYPERLINK("http://catalog.hathitrust.org/Record/000104326","HathiTrust Record")</f>
        <v/>
      </c>
      <c r="AS714">
        <f>HYPERLINK("https://creighton-primo.hosted.exlibrisgroup.com/primo-explore/search?tab=default_tab&amp;search_scope=EVERYTHING&amp;vid=01CRU&amp;lang=en_US&amp;offset=0&amp;query=any,contains,991002601449702656","Catalog Record")</f>
        <v/>
      </c>
      <c r="AT714">
        <f>HYPERLINK("http://www.worldcat.org/oclc/377257","WorldCat Record")</f>
        <v/>
      </c>
      <c r="AU714" t="inlineStr">
        <is>
          <t>1472650:eng</t>
        </is>
      </c>
      <c r="AV714" t="inlineStr">
        <is>
          <t>377257</t>
        </is>
      </c>
      <c r="AW714" t="inlineStr">
        <is>
          <t>991002601449702656</t>
        </is>
      </c>
      <c r="AX714" t="inlineStr">
        <is>
          <t>991002601449702656</t>
        </is>
      </c>
      <c r="AY714" t="inlineStr">
        <is>
          <t>2260826110002656</t>
        </is>
      </c>
      <c r="AZ714" t="inlineStr">
        <is>
          <t>BOOK</t>
        </is>
      </c>
      <c r="BC714" t="inlineStr">
        <is>
          <t>32285000332915</t>
        </is>
      </c>
      <c r="BD714" t="inlineStr">
        <is>
          <t>893691779</t>
        </is>
      </c>
    </row>
    <row r="715">
      <c r="A715" t="inlineStr">
        <is>
          <t>No</t>
        </is>
      </c>
      <c r="B715" t="inlineStr">
        <is>
          <t>HV6545 .O74</t>
        </is>
      </c>
      <c r="C715" t="inlineStr">
        <is>
          <t>0                      HV 6545000O  74</t>
        </is>
      </c>
      <c r="D715" t="inlineStr">
        <is>
          <t>Organizing the community to prevent suicide / edited by Jack Zusman and David L. Davidson. Foreword by Harvey L. P. Resnik.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L715" t="inlineStr">
        <is>
          <t>Springfield, Ill. : Thomas, [1971]</t>
        </is>
      </c>
      <c r="M715" t="inlineStr">
        <is>
          <t>1971</t>
        </is>
      </c>
      <c r="O715" t="inlineStr">
        <is>
          <t>eng</t>
        </is>
      </c>
      <c r="P715" t="inlineStr">
        <is>
          <t>ilu</t>
        </is>
      </c>
      <c r="R715" t="inlineStr">
        <is>
          <t xml:space="preserve">HV </t>
        </is>
      </c>
      <c r="S715" t="n">
        <v>3</v>
      </c>
      <c r="T715" t="n">
        <v>3</v>
      </c>
      <c r="U715" t="inlineStr">
        <is>
          <t>1994-10-04</t>
        </is>
      </c>
      <c r="V715" t="inlineStr">
        <is>
          <t>1994-10-04</t>
        </is>
      </c>
      <c r="W715" t="inlineStr">
        <is>
          <t>1992-02-26</t>
        </is>
      </c>
      <c r="X715" t="inlineStr">
        <is>
          <t>1992-02-26</t>
        </is>
      </c>
      <c r="Y715" t="n">
        <v>369</v>
      </c>
      <c r="Z715" t="n">
        <v>322</v>
      </c>
      <c r="AA715" t="n">
        <v>325</v>
      </c>
      <c r="AB715" t="n">
        <v>4</v>
      </c>
      <c r="AC715" t="n">
        <v>4</v>
      </c>
      <c r="AD715" t="n">
        <v>17</v>
      </c>
      <c r="AE715" t="n">
        <v>17</v>
      </c>
      <c r="AF715" t="n">
        <v>5</v>
      </c>
      <c r="AG715" t="n">
        <v>5</v>
      </c>
      <c r="AH715" t="n">
        <v>4</v>
      </c>
      <c r="AI715" t="n">
        <v>4</v>
      </c>
      <c r="AJ715" t="n">
        <v>7</v>
      </c>
      <c r="AK715" t="n">
        <v>7</v>
      </c>
      <c r="AL715" t="n">
        <v>3</v>
      </c>
      <c r="AM715" t="n">
        <v>3</v>
      </c>
      <c r="AN715" t="n">
        <v>1</v>
      </c>
      <c r="AO715" t="n">
        <v>1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HYPERLINK("http://catalog.hathitrust.org/Record/000004269","HathiTrust Record")</f>
        <v/>
      </c>
      <c r="AS715">
        <f>HYPERLINK("https://creighton-primo.hosted.exlibrisgroup.com/primo-explore/search?tab=default_tab&amp;search_scope=EVERYTHING&amp;vid=01CRU&amp;lang=en_US&amp;offset=0&amp;query=any,contains,991002248809702656","Catalog Record")</f>
        <v/>
      </c>
      <c r="AT715">
        <f>HYPERLINK("http://www.worldcat.org/oclc/298347","WorldCat Record")</f>
        <v/>
      </c>
      <c r="AU715" t="inlineStr">
        <is>
          <t>422739567:eng</t>
        </is>
      </c>
      <c r="AV715" t="inlineStr">
        <is>
          <t>298347</t>
        </is>
      </c>
      <c r="AW715" t="inlineStr">
        <is>
          <t>991002248809702656</t>
        </is>
      </c>
      <c r="AX715" t="inlineStr">
        <is>
          <t>991002248809702656</t>
        </is>
      </c>
      <c r="AY715" t="inlineStr">
        <is>
          <t>2264977000002656</t>
        </is>
      </c>
      <c r="AZ715" t="inlineStr">
        <is>
          <t>BOOK</t>
        </is>
      </c>
      <c r="BC715" t="inlineStr">
        <is>
          <t>32285000975135</t>
        </is>
      </c>
      <c r="BD715" t="inlineStr">
        <is>
          <t>893609636</t>
        </is>
      </c>
    </row>
    <row r="716">
      <c r="A716" t="inlineStr">
        <is>
          <t>No</t>
        </is>
      </c>
      <c r="B716" t="inlineStr">
        <is>
          <t>HV6545 .S35</t>
        </is>
      </c>
      <c r="C716" t="inlineStr">
        <is>
          <t>0                      HV 6545000S  35</t>
        </is>
      </c>
      <c r="D716" t="inlineStr">
        <is>
          <t>Clues to suicide / edited by Edwin S. Shneidman [and] Norman L. Farberow. Foreword by Karl A. Menninger.</t>
        </is>
      </c>
      <c r="F716" t="inlineStr">
        <is>
          <t>No</t>
        </is>
      </c>
      <c r="G716" t="inlineStr">
        <is>
          <t>1</t>
        </is>
      </c>
      <c r="H716" t="inlineStr">
        <is>
          <t>Yes</t>
        </is>
      </c>
      <c r="I716" t="inlineStr">
        <is>
          <t>No</t>
        </is>
      </c>
      <c r="J716" t="inlineStr">
        <is>
          <t>0</t>
        </is>
      </c>
      <c r="K716" t="inlineStr">
        <is>
          <t>Shneidman, Edwin S., editor.</t>
        </is>
      </c>
      <c r="L716" t="inlineStr">
        <is>
          <t>New York : Blakiston Division, 1957.</t>
        </is>
      </c>
      <c r="M716" t="inlineStr">
        <is>
          <t>1957</t>
        </is>
      </c>
      <c r="O716" t="inlineStr">
        <is>
          <t>eng</t>
        </is>
      </c>
      <c r="P716" t="inlineStr">
        <is>
          <t>nyu</t>
        </is>
      </c>
      <c r="R716" t="inlineStr">
        <is>
          <t xml:space="preserve">HV </t>
        </is>
      </c>
      <c r="S716" t="n">
        <v>15</v>
      </c>
      <c r="T716" t="n">
        <v>16</v>
      </c>
      <c r="U716" t="inlineStr">
        <is>
          <t>1998-11-30</t>
        </is>
      </c>
      <c r="V716" t="inlineStr">
        <is>
          <t>1998-11-30</t>
        </is>
      </c>
      <c r="W716" t="inlineStr">
        <is>
          <t>1992-03-17</t>
        </is>
      </c>
      <c r="X716" t="inlineStr">
        <is>
          <t>1992-03-17</t>
        </is>
      </c>
      <c r="Y716" t="n">
        <v>537</v>
      </c>
      <c r="Z716" t="n">
        <v>480</v>
      </c>
      <c r="AA716" t="n">
        <v>755</v>
      </c>
      <c r="AB716" t="n">
        <v>4</v>
      </c>
      <c r="AC716" t="n">
        <v>6</v>
      </c>
      <c r="AD716" t="n">
        <v>19</v>
      </c>
      <c r="AE716" t="n">
        <v>31</v>
      </c>
      <c r="AF716" t="n">
        <v>8</v>
      </c>
      <c r="AG716" t="n">
        <v>13</v>
      </c>
      <c r="AH716" t="n">
        <v>3</v>
      </c>
      <c r="AI716" t="n">
        <v>6</v>
      </c>
      <c r="AJ716" t="n">
        <v>7</v>
      </c>
      <c r="AK716" t="n">
        <v>13</v>
      </c>
      <c r="AL716" t="n">
        <v>2</v>
      </c>
      <c r="AM716" t="n">
        <v>4</v>
      </c>
      <c r="AN716" t="n">
        <v>1</v>
      </c>
      <c r="AO716" t="n">
        <v>1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HYPERLINK("http://catalog.hathitrust.org/Record/000030140","HathiTrust Record")</f>
        <v/>
      </c>
      <c r="AS716">
        <f>HYPERLINK("https://creighton-primo.hosted.exlibrisgroup.com/primo-explore/search?tab=default_tab&amp;search_scope=EVERYTHING&amp;vid=01CRU&amp;lang=en_US&amp;offset=0&amp;query=any,contains,991001767249702656","Catalog Record")</f>
        <v/>
      </c>
      <c r="AT716">
        <f>HYPERLINK("http://www.worldcat.org/oclc/328304","WorldCat Record")</f>
        <v/>
      </c>
      <c r="AU716" t="inlineStr">
        <is>
          <t>570315:eng</t>
        </is>
      </c>
      <c r="AV716" t="inlineStr">
        <is>
          <t>328304</t>
        </is>
      </c>
      <c r="AW716" t="inlineStr">
        <is>
          <t>991001767249702656</t>
        </is>
      </c>
      <c r="AX716" t="inlineStr">
        <is>
          <t>991001767249702656</t>
        </is>
      </c>
      <c r="AY716" t="inlineStr">
        <is>
          <t>2271479600002656</t>
        </is>
      </c>
      <c r="AZ716" t="inlineStr">
        <is>
          <t>BOOK</t>
        </is>
      </c>
      <c r="BC716" t="inlineStr">
        <is>
          <t>32285001022754</t>
        </is>
      </c>
      <c r="BD716" t="inlineStr">
        <is>
          <t>893797822</t>
        </is>
      </c>
    </row>
    <row r="717">
      <c r="A717" t="inlineStr">
        <is>
          <t>No</t>
        </is>
      </c>
      <c r="B717" t="inlineStr">
        <is>
          <t>HV6545 .S36</t>
        </is>
      </c>
      <c r="C717" t="inlineStr">
        <is>
          <t>0                      HV 6545000S  36</t>
        </is>
      </c>
      <c r="D717" t="inlineStr">
        <is>
          <t>Essays in self-destruction / Edwin S. Shneidman, editor.</t>
        </is>
      </c>
      <c r="F717" t="inlineStr">
        <is>
          <t>No</t>
        </is>
      </c>
      <c r="G717" t="inlineStr">
        <is>
          <t>1</t>
        </is>
      </c>
      <c r="H717" t="inlineStr">
        <is>
          <t>Yes</t>
        </is>
      </c>
      <c r="I717" t="inlineStr">
        <is>
          <t>No</t>
        </is>
      </c>
      <c r="J717" t="inlineStr">
        <is>
          <t>0</t>
        </is>
      </c>
      <c r="K717" t="inlineStr">
        <is>
          <t>Shneidman, Edwin S.</t>
        </is>
      </c>
      <c r="L717" t="inlineStr">
        <is>
          <t>New York : Science House, [1967]</t>
        </is>
      </c>
      <c r="M717" t="inlineStr">
        <is>
          <t>1967</t>
        </is>
      </c>
      <c r="N717" t="inlineStr">
        <is>
          <t>[1st ed.]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HV </t>
        </is>
      </c>
      <c r="S717" t="n">
        <v>1</v>
      </c>
      <c r="T717" t="n">
        <v>3</v>
      </c>
      <c r="V717" t="inlineStr">
        <is>
          <t>2001-01-24</t>
        </is>
      </c>
      <c r="W717" t="inlineStr">
        <is>
          <t>1992-07-08</t>
        </is>
      </c>
      <c r="X717" t="inlineStr">
        <is>
          <t>1992-07-08</t>
        </is>
      </c>
      <c r="Y717" t="n">
        <v>780</v>
      </c>
      <c r="Z717" t="n">
        <v>684</v>
      </c>
      <c r="AA717" t="n">
        <v>778</v>
      </c>
      <c r="AB717" t="n">
        <v>6</v>
      </c>
      <c r="AC717" t="n">
        <v>6</v>
      </c>
      <c r="AD717" t="n">
        <v>31</v>
      </c>
      <c r="AE717" t="n">
        <v>35</v>
      </c>
      <c r="AF717" t="n">
        <v>13</v>
      </c>
      <c r="AG717" t="n">
        <v>15</v>
      </c>
      <c r="AH717" t="n">
        <v>4</v>
      </c>
      <c r="AI717" t="n">
        <v>6</v>
      </c>
      <c r="AJ717" t="n">
        <v>19</v>
      </c>
      <c r="AK717" t="n">
        <v>20</v>
      </c>
      <c r="AL717" t="n">
        <v>4</v>
      </c>
      <c r="AM717" t="n">
        <v>4</v>
      </c>
      <c r="AN717" t="n">
        <v>1</v>
      </c>
      <c r="AO717" t="n">
        <v>1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HYPERLINK("http://catalog.hathitrust.org/Record/001134437","HathiTrust Record")</f>
        <v/>
      </c>
      <c r="AS717">
        <f>HYPERLINK("https://creighton-primo.hosted.exlibrisgroup.com/primo-explore/search?tab=default_tab&amp;search_scope=EVERYTHING&amp;vid=01CRU&amp;lang=en_US&amp;offset=0&amp;query=any,contains,991001767209702656","Catalog Record")</f>
        <v/>
      </c>
      <c r="AT717">
        <f>HYPERLINK("http://www.worldcat.org/oclc/265031","WorldCat Record")</f>
        <v/>
      </c>
      <c r="AU717" t="inlineStr">
        <is>
          <t>355215412:eng</t>
        </is>
      </c>
      <c r="AV717" t="inlineStr">
        <is>
          <t>265031</t>
        </is>
      </c>
      <c r="AW717" t="inlineStr">
        <is>
          <t>991001767209702656</t>
        </is>
      </c>
      <c r="AX717" t="inlineStr">
        <is>
          <t>991001767209702656</t>
        </is>
      </c>
      <c r="AY717" t="inlineStr">
        <is>
          <t>2265228720002656</t>
        </is>
      </c>
      <c r="AZ717" t="inlineStr">
        <is>
          <t>BOOK</t>
        </is>
      </c>
      <c r="BC717" t="inlineStr">
        <is>
          <t>32285001181725</t>
        </is>
      </c>
      <c r="BD717" t="inlineStr">
        <is>
          <t>893250479</t>
        </is>
      </c>
    </row>
    <row r="718">
      <c r="A718" t="inlineStr">
        <is>
          <t>No</t>
        </is>
      </c>
      <c r="B718" t="inlineStr">
        <is>
          <t>HV6545 .S38</t>
        </is>
      </c>
      <c r="C718" t="inlineStr">
        <is>
          <t>0                      HV 6545000S  38</t>
        </is>
      </c>
      <c r="D718" t="inlineStr">
        <is>
          <t>The psychology of suicide / [by] Edwin S. Shneidman, Norman L. Farberow [and] Robert E. Litman.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Shneidman, Edwin S.</t>
        </is>
      </c>
      <c r="L718" t="inlineStr">
        <is>
          <t>New York : Science House, 1970.</t>
        </is>
      </c>
      <c r="M718" t="inlineStr">
        <is>
          <t>1970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HV </t>
        </is>
      </c>
      <c r="S718" t="n">
        <v>13</v>
      </c>
      <c r="T718" t="n">
        <v>13</v>
      </c>
      <c r="U718" t="inlineStr">
        <is>
          <t>2006-11-03</t>
        </is>
      </c>
      <c r="V718" t="inlineStr">
        <is>
          <t>2006-11-03</t>
        </is>
      </c>
      <c r="W718" t="inlineStr">
        <is>
          <t>1990-10-05</t>
        </is>
      </c>
      <c r="X718" t="inlineStr">
        <is>
          <t>1990-10-05</t>
        </is>
      </c>
      <c r="Y718" t="n">
        <v>628</v>
      </c>
      <c r="Z718" t="n">
        <v>559</v>
      </c>
      <c r="AA718" t="n">
        <v>766</v>
      </c>
      <c r="AB718" t="n">
        <v>6</v>
      </c>
      <c r="AC718" t="n">
        <v>6</v>
      </c>
      <c r="AD718" t="n">
        <v>28</v>
      </c>
      <c r="AE718" t="n">
        <v>35</v>
      </c>
      <c r="AF718" t="n">
        <v>11</v>
      </c>
      <c r="AG718" t="n">
        <v>16</v>
      </c>
      <c r="AH718" t="n">
        <v>3</v>
      </c>
      <c r="AI718" t="n">
        <v>5</v>
      </c>
      <c r="AJ718" t="n">
        <v>13</v>
      </c>
      <c r="AK718" t="n">
        <v>17</v>
      </c>
      <c r="AL718" t="n">
        <v>5</v>
      </c>
      <c r="AM718" t="n">
        <v>5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HYPERLINK("http://catalog.hathitrust.org/Record/001134438","HathiTrust Record")</f>
        <v/>
      </c>
      <c r="AS718">
        <f>HYPERLINK("https://creighton-primo.hosted.exlibrisgroup.com/primo-explore/search?tab=default_tab&amp;search_scope=EVERYTHING&amp;vid=01CRU&amp;lang=en_US&amp;offset=0&amp;query=any,contains,991000659999702656","Catalog Record")</f>
        <v/>
      </c>
      <c r="AT718">
        <f>HYPERLINK("http://www.worldcat.org/oclc/117281","WorldCat Record")</f>
        <v/>
      </c>
      <c r="AU718" t="inlineStr">
        <is>
          <t>583054:eng</t>
        </is>
      </c>
      <c r="AV718" t="inlineStr">
        <is>
          <t>117281</t>
        </is>
      </c>
      <c r="AW718" t="inlineStr">
        <is>
          <t>991000659999702656</t>
        </is>
      </c>
      <c r="AX718" t="inlineStr">
        <is>
          <t>991000659999702656</t>
        </is>
      </c>
      <c r="AY718" t="inlineStr">
        <is>
          <t>2261097600002656</t>
        </is>
      </c>
      <c r="AZ718" t="inlineStr">
        <is>
          <t>BOOK</t>
        </is>
      </c>
      <c r="BB718" t="inlineStr">
        <is>
          <t>9780876680278</t>
        </is>
      </c>
      <c r="BC718" t="inlineStr">
        <is>
          <t>32285000332907</t>
        </is>
      </c>
      <c r="BD718" t="inlineStr">
        <is>
          <t>893702317</t>
        </is>
      </c>
    </row>
    <row r="719">
      <c r="A719" t="inlineStr">
        <is>
          <t>No</t>
        </is>
      </c>
      <c r="B719" t="inlineStr">
        <is>
          <t>HV6545 .S797 1989</t>
        </is>
      </c>
      <c r="C719" t="inlineStr">
        <is>
          <t>0                      HV 6545000S  797         1989</t>
        </is>
      </c>
      <c r="D719" t="inlineStr">
        <is>
          <t>Suicide across the life span : premature exits / Judith M. Stillion, Eugene E. McDowell, Jacque H. May.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Stillion, Judith M., 1937-</t>
        </is>
      </c>
      <c r="L719" t="inlineStr">
        <is>
          <t>New York : Hemisphere Pub. Corp., c1989.</t>
        </is>
      </c>
      <c r="M719" t="inlineStr">
        <is>
          <t>1989</t>
        </is>
      </c>
      <c r="O719" t="inlineStr">
        <is>
          <t>eng</t>
        </is>
      </c>
      <c r="P719" t="inlineStr">
        <is>
          <t>nyu</t>
        </is>
      </c>
      <c r="Q719" t="inlineStr">
        <is>
          <t>Series in death education, aging, and health care, 0275-3510</t>
        </is>
      </c>
      <c r="R719" t="inlineStr">
        <is>
          <t xml:space="preserve">HV </t>
        </is>
      </c>
      <c r="S719" t="n">
        <v>29</v>
      </c>
      <c r="T719" t="n">
        <v>29</v>
      </c>
      <c r="U719" t="inlineStr">
        <is>
          <t>2006-11-15</t>
        </is>
      </c>
      <c r="V719" t="inlineStr">
        <is>
          <t>2006-11-15</t>
        </is>
      </c>
      <c r="W719" t="inlineStr">
        <is>
          <t>1990-07-26</t>
        </is>
      </c>
      <c r="X719" t="inlineStr">
        <is>
          <t>1990-07-26</t>
        </is>
      </c>
      <c r="Y719" t="n">
        <v>447</v>
      </c>
      <c r="Z719" t="n">
        <v>366</v>
      </c>
      <c r="AA719" t="n">
        <v>534</v>
      </c>
      <c r="AB719" t="n">
        <v>5</v>
      </c>
      <c r="AC719" t="n">
        <v>5</v>
      </c>
      <c r="AD719" t="n">
        <v>16</v>
      </c>
      <c r="AE719" t="n">
        <v>24</v>
      </c>
      <c r="AF719" t="n">
        <v>3</v>
      </c>
      <c r="AG719" t="n">
        <v>8</v>
      </c>
      <c r="AH719" t="n">
        <v>4</v>
      </c>
      <c r="AI719" t="n">
        <v>6</v>
      </c>
      <c r="AJ719" t="n">
        <v>8</v>
      </c>
      <c r="AK719" t="n">
        <v>12</v>
      </c>
      <c r="AL719" t="n">
        <v>4</v>
      </c>
      <c r="AM719" t="n">
        <v>4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HYPERLINK("http://catalog.hathitrust.org/Record/004547489","HathiTrust Record")</f>
        <v/>
      </c>
      <c r="AS719">
        <f>HYPERLINK("https://creighton-primo.hosted.exlibrisgroup.com/primo-explore/search?tab=default_tab&amp;search_scope=EVERYTHING&amp;vid=01CRU&amp;lang=en_US&amp;offset=0&amp;query=any,contains,991001472699702656","Catalog Record")</f>
        <v/>
      </c>
      <c r="AT719">
        <f>HYPERLINK("http://www.worldcat.org/oclc/19554386","WorldCat Record")</f>
        <v/>
      </c>
      <c r="AU719" t="inlineStr">
        <is>
          <t>353648958:eng</t>
        </is>
      </c>
      <c r="AV719" t="inlineStr">
        <is>
          <t>19554386</t>
        </is>
      </c>
      <c r="AW719" t="inlineStr">
        <is>
          <t>991001472699702656</t>
        </is>
      </c>
      <c r="AX719" t="inlineStr">
        <is>
          <t>991001472699702656</t>
        </is>
      </c>
      <c r="AY719" t="inlineStr">
        <is>
          <t>2271095860002656</t>
        </is>
      </c>
      <c r="AZ719" t="inlineStr">
        <is>
          <t>BOOK</t>
        </is>
      </c>
      <c r="BB719" t="inlineStr">
        <is>
          <t>9780891169512</t>
        </is>
      </c>
      <c r="BC719" t="inlineStr">
        <is>
          <t>32285000240746</t>
        </is>
      </c>
      <c r="BD719" t="inlineStr">
        <is>
          <t>893321988</t>
        </is>
      </c>
    </row>
    <row r="720">
      <c r="A720" t="inlineStr">
        <is>
          <t>No</t>
        </is>
      </c>
      <c r="B720" t="inlineStr">
        <is>
          <t>HV6545 .S83</t>
        </is>
      </c>
      <c r="C720" t="inlineStr">
        <is>
          <t>0                      HV 6545000S  83</t>
        </is>
      </c>
      <c r="D720" t="inlineStr">
        <is>
          <t>Suicide in different cultures / edited by Norman L. Farberow.</t>
        </is>
      </c>
      <c r="F720" t="inlineStr">
        <is>
          <t>No</t>
        </is>
      </c>
      <c r="G720" t="inlineStr">
        <is>
          <t>1</t>
        </is>
      </c>
      <c r="H720" t="inlineStr">
        <is>
          <t>Yes</t>
        </is>
      </c>
      <c r="I720" t="inlineStr">
        <is>
          <t>No</t>
        </is>
      </c>
      <c r="J720" t="inlineStr">
        <is>
          <t>0</t>
        </is>
      </c>
      <c r="L720" t="inlineStr">
        <is>
          <t>Baltimore : University Park Press, [1975]</t>
        </is>
      </c>
      <c r="M720" t="inlineStr">
        <is>
          <t>1975</t>
        </is>
      </c>
      <c r="O720" t="inlineStr">
        <is>
          <t>eng</t>
        </is>
      </c>
      <c r="P720" t="inlineStr">
        <is>
          <t>mdu</t>
        </is>
      </c>
      <c r="R720" t="inlineStr">
        <is>
          <t xml:space="preserve">HV </t>
        </is>
      </c>
      <c r="S720" t="n">
        <v>20</v>
      </c>
      <c r="T720" t="n">
        <v>23</v>
      </c>
      <c r="U720" t="inlineStr">
        <is>
          <t>2006-11-15</t>
        </is>
      </c>
      <c r="V720" t="inlineStr">
        <is>
          <t>2006-11-15</t>
        </is>
      </c>
      <c r="W720" t="inlineStr">
        <is>
          <t>1990-10-05</t>
        </is>
      </c>
      <c r="X720" t="inlineStr">
        <is>
          <t>1990-10-05</t>
        </is>
      </c>
      <c r="Y720" t="n">
        <v>804</v>
      </c>
      <c r="Z720" t="n">
        <v>668</v>
      </c>
      <c r="AA720" t="n">
        <v>670</v>
      </c>
      <c r="AB720" t="n">
        <v>6</v>
      </c>
      <c r="AC720" t="n">
        <v>6</v>
      </c>
      <c r="AD720" t="n">
        <v>27</v>
      </c>
      <c r="AE720" t="n">
        <v>27</v>
      </c>
      <c r="AF720" t="n">
        <v>11</v>
      </c>
      <c r="AG720" t="n">
        <v>11</v>
      </c>
      <c r="AH720" t="n">
        <v>5</v>
      </c>
      <c r="AI720" t="n">
        <v>5</v>
      </c>
      <c r="AJ720" t="n">
        <v>16</v>
      </c>
      <c r="AK720" t="n">
        <v>16</v>
      </c>
      <c r="AL720" t="n">
        <v>3</v>
      </c>
      <c r="AM720" t="n">
        <v>3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HYPERLINK("http://catalog.hathitrust.org/Record/000040669","HathiTrust Record")</f>
        <v/>
      </c>
      <c r="AS720">
        <f>HYPERLINK("https://creighton-primo.hosted.exlibrisgroup.com/primo-explore/search?tab=default_tab&amp;search_scope=EVERYTHING&amp;vid=01CRU&amp;lang=en_US&amp;offset=0&amp;query=any,contains,991001800419702656","Catalog Record")</f>
        <v/>
      </c>
      <c r="AT720">
        <f>HYPERLINK("http://www.worldcat.org/oclc/1659668","WorldCat Record")</f>
        <v/>
      </c>
      <c r="AU720" t="inlineStr">
        <is>
          <t>2467834:eng</t>
        </is>
      </c>
      <c r="AV720" t="inlineStr">
        <is>
          <t>1659668</t>
        </is>
      </c>
      <c r="AW720" t="inlineStr">
        <is>
          <t>991001800419702656</t>
        </is>
      </c>
      <c r="AX720" t="inlineStr">
        <is>
          <t>991001800419702656</t>
        </is>
      </c>
      <c r="AY720" t="inlineStr">
        <is>
          <t>2256727540002656</t>
        </is>
      </c>
      <c r="AZ720" t="inlineStr">
        <is>
          <t>BOOK</t>
        </is>
      </c>
      <c r="BB720" t="inlineStr">
        <is>
          <t>9780839108436</t>
        </is>
      </c>
      <c r="BC720" t="inlineStr">
        <is>
          <t>32285000332899</t>
        </is>
      </c>
      <c r="BD720" t="inlineStr">
        <is>
          <t>893709556</t>
        </is>
      </c>
    </row>
    <row r="721">
      <c r="A721" t="inlineStr">
        <is>
          <t>No</t>
        </is>
      </c>
      <c r="B721" t="inlineStr">
        <is>
          <t>HV6545 .S844</t>
        </is>
      </c>
      <c r="C721" t="inlineStr">
        <is>
          <t>0                      HV 6545000S  844</t>
        </is>
      </c>
      <c r="D721" t="inlineStr">
        <is>
          <t>The Suicide syndrome / edited by Richard Farmer and Steven Hirsch.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L721" t="inlineStr">
        <is>
          <t>London : Croom Helm, c1980.</t>
        </is>
      </c>
      <c r="M721" t="inlineStr">
        <is>
          <t>1980</t>
        </is>
      </c>
      <c r="O721" t="inlineStr">
        <is>
          <t>eng</t>
        </is>
      </c>
      <c r="P721" t="inlineStr">
        <is>
          <t>enk</t>
        </is>
      </c>
      <c r="R721" t="inlineStr">
        <is>
          <t xml:space="preserve">HV </t>
        </is>
      </c>
      <c r="S721" t="n">
        <v>19</v>
      </c>
      <c r="T721" t="n">
        <v>19</v>
      </c>
      <c r="U721" t="inlineStr">
        <is>
          <t>1999-11-10</t>
        </is>
      </c>
      <c r="V721" t="inlineStr">
        <is>
          <t>1999-11-10</t>
        </is>
      </c>
      <c r="W721" t="inlineStr">
        <is>
          <t>1990-07-06</t>
        </is>
      </c>
      <c r="X721" t="inlineStr">
        <is>
          <t>1990-07-06</t>
        </is>
      </c>
      <c r="Y721" t="n">
        <v>238</v>
      </c>
      <c r="Z721" t="n">
        <v>130</v>
      </c>
      <c r="AA721" t="n">
        <v>132</v>
      </c>
      <c r="AB721" t="n">
        <v>1</v>
      </c>
      <c r="AC721" t="n">
        <v>1</v>
      </c>
      <c r="AD721" t="n">
        <v>1</v>
      </c>
      <c r="AE721" t="n">
        <v>1</v>
      </c>
      <c r="AF721" t="n">
        <v>0</v>
      </c>
      <c r="AG721" t="n">
        <v>0</v>
      </c>
      <c r="AH721" t="n">
        <v>0</v>
      </c>
      <c r="AI721" t="n">
        <v>0</v>
      </c>
      <c r="AJ721" t="n">
        <v>1</v>
      </c>
      <c r="AK721" t="n">
        <v>1</v>
      </c>
      <c r="AL721" t="n">
        <v>0</v>
      </c>
      <c r="AM721" t="n">
        <v>0</v>
      </c>
      <c r="AN721" t="n">
        <v>0</v>
      </c>
      <c r="AO721" t="n">
        <v>0</v>
      </c>
      <c r="AP721" t="inlineStr">
        <is>
          <t>No</t>
        </is>
      </c>
      <c r="AQ721" t="inlineStr">
        <is>
          <t>Yes</t>
        </is>
      </c>
      <c r="AR721">
        <f>HYPERLINK("http://catalog.hathitrust.org/Record/002193253","HathiTrust Record")</f>
        <v/>
      </c>
      <c r="AS721">
        <f>HYPERLINK("https://creighton-primo.hosted.exlibrisgroup.com/primo-explore/search?tab=default_tab&amp;search_scope=EVERYTHING&amp;vid=01CRU&amp;lang=en_US&amp;offset=0&amp;query=any,contains,991005066209702656","Catalog Record")</f>
        <v/>
      </c>
      <c r="AT721">
        <f>HYPERLINK("http://www.worldcat.org/oclc/6962727","WorldCat Record")</f>
        <v/>
      </c>
      <c r="AU721" t="inlineStr">
        <is>
          <t>510776:eng</t>
        </is>
      </c>
      <c r="AV721" t="inlineStr">
        <is>
          <t>6962727</t>
        </is>
      </c>
      <c r="AW721" t="inlineStr">
        <is>
          <t>991005066209702656</t>
        </is>
      </c>
      <c r="AX721" t="inlineStr">
        <is>
          <t>991005066209702656</t>
        </is>
      </c>
      <c r="AY721" t="inlineStr">
        <is>
          <t>2255801150002656</t>
        </is>
      </c>
      <c r="AZ721" t="inlineStr">
        <is>
          <t>BOOK</t>
        </is>
      </c>
      <c r="BB721" t="inlineStr">
        <is>
          <t>9780856648687</t>
        </is>
      </c>
      <c r="BC721" t="inlineStr">
        <is>
          <t>32285000226323</t>
        </is>
      </c>
      <c r="BD721" t="inlineStr">
        <is>
          <t>893443341</t>
        </is>
      </c>
    </row>
    <row r="722">
      <c r="A722" t="inlineStr">
        <is>
          <t>No</t>
        </is>
      </c>
      <c r="B722" t="inlineStr">
        <is>
          <t>HV6545.2 .E58 1994</t>
        </is>
      </c>
      <c r="C722" t="inlineStr">
        <is>
          <t>0                      HV 6545200E  58          1994</t>
        </is>
      </c>
      <c r="D722" t="inlineStr">
        <is>
          <t>Elder suicide : research, theory, and treatment / John L. McIntosh ... [et al.].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L722" t="inlineStr">
        <is>
          <t>Washington, DC : American Psychological Association, c1994.</t>
        </is>
      </c>
      <c r="M722" t="inlineStr">
        <is>
          <t>1994</t>
        </is>
      </c>
      <c r="N722" t="inlineStr">
        <is>
          <t>1st ed.</t>
        </is>
      </c>
      <c r="O722" t="inlineStr">
        <is>
          <t>eng</t>
        </is>
      </c>
      <c r="P722" t="inlineStr">
        <is>
          <t>dcu</t>
        </is>
      </c>
      <c r="R722" t="inlineStr">
        <is>
          <t xml:space="preserve">HV </t>
        </is>
      </c>
      <c r="S722" t="n">
        <v>5</v>
      </c>
      <c r="T722" t="n">
        <v>5</v>
      </c>
      <c r="U722" t="inlineStr">
        <is>
          <t>2008-12-01</t>
        </is>
      </c>
      <c r="V722" t="inlineStr">
        <is>
          <t>2008-12-01</t>
        </is>
      </c>
      <c r="W722" t="inlineStr">
        <is>
          <t>1996-05-06</t>
        </is>
      </c>
      <c r="X722" t="inlineStr">
        <is>
          <t>1996-05-06</t>
        </is>
      </c>
      <c r="Y722" t="n">
        <v>464</v>
      </c>
      <c r="Z722" t="n">
        <v>395</v>
      </c>
      <c r="AA722" t="n">
        <v>461</v>
      </c>
      <c r="AB722" t="n">
        <v>2</v>
      </c>
      <c r="AC722" t="n">
        <v>3</v>
      </c>
      <c r="AD722" t="n">
        <v>22</v>
      </c>
      <c r="AE722" t="n">
        <v>25</v>
      </c>
      <c r="AF722" t="n">
        <v>9</v>
      </c>
      <c r="AG722" t="n">
        <v>11</v>
      </c>
      <c r="AH722" t="n">
        <v>4</v>
      </c>
      <c r="AI722" t="n">
        <v>4</v>
      </c>
      <c r="AJ722" t="n">
        <v>14</v>
      </c>
      <c r="AK722" t="n">
        <v>14</v>
      </c>
      <c r="AL722" t="n">
        <v>1</v>
      </c>
      <c r="AM722" t="n">
        <v>2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HYPERLINK("https://creighton-primo.hosted.exlibrisgroup.com/primo-explore/search?tab=default_tab&amp;search_scope=EVERYTHING&amp;vid=01CRU&amp;lang=en_US&amp;offset=0&amp;query=any,contains,991002305949702656","Catalog Record")</f>
        <v/>
      </c>
      <c r="AT722">
        <f>HYPERLINK("http://www.worldcat.org/oclc/29909820","WorldCat Record")</f>
        <v/>
      </c>
      <c r="AU722" t="inlineStr">
        <is>
          <t>1078958483:eng</t>
        </is>
      </c>
      <c r="AV722" t="inlineStr">
        <is>
          <t>29909820</t>
        </is>
      </c>
      <c r="AW722" t="inlineStr">
        <is>
          <t>991002305949702656</t>
        </is>
      </c>
      <c r="AX722" t="inlineStr">
        <is>
          <t>991002305949702656</t>
        </is>
      </c>
      <c r="AY722" t="inlineStr">
        <is>
          <t>2259936120002656</t>
        </is>
      </c>
      <c r="AZ722" t="inlineStr">
        <is>
          <t>BOOK</t>
        </is>
      </c>
      <c r="BB722" t="inlineStr">
        <is>
          <t>9781557982407</t>
        </is>
      </c>
      <c r="BC722" t="inlineStr">
        <is>
          <t>32285002158961</t>
        </is>
      </c>
      <c r="BD722" t="inlineStr">
        <is>
          <t>893427458</t>
        </is>
      </c>
    </row>
    <row r="723">
      <c r="A723" t="inlineStr">
        <is>
          <t>No</t>
        </is>
      </c>
      <c r="B723" t="inlineStr">
        <is>
          <t>HV6545.4 .D43 1994</t>
        </is>
      </c>
      <c r="C723" t="inlineStr">
        <is>
          <t>0                      HV 6545400D  43          1994</t>
        </is>
      </c>
      <c r="D723" t="inlineStr">
        <is>
          <t>Death by denial : studies of suicide in gay and lesbian teenagers / Gary Remafedi, editor.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L723" t="inlineStr">
        <is>
          <t>Boston, Mass. : Alyson Publications, 1994.</t>
        </is>
      </c>
      <c r="M723" t="inlineStr">
        <is>
          <t>1994</t>
        </is>
      </c>
      <c r="N723" t="inlineStr">
        <is>
          <t>1st ed.</t>
        </is>
      </c>
      <c r="O723" t="inlineStr">
        <is>
          <t>eng</t>
        </is>
      </c>
      <c r="P723" t="inlineStr">
        <is>
          <t>mau</t>
        </is>
      </c>
      <c r="R723" t="inlineStr">
        <is>
          <t xml:space="preserve">HV </t>
        </is>
      </c>
      <c r="S723" t="n">
        <v>3</v>
      </c>
      <c r="T723" t="n">
        <v>3</v>
      </c>
      <c r="U723" t="inlineStr">
        <is>
          <t>2002-07-08</t>
        </is>
      </c>
      <c r="V723" t="inlineStr">
        <is>
          <t>2002-07-08</t>
        </is>
      </c>
      <c r="W723" t="inlineStr">
        <is>
          <t>1996-09-25</t>
        </is>
      </c>
      <c r="X723" t="inlineStr">
        <is>
          <t>1996-09-25</t>
        </is>
      </c>
      <c r="Y723" t="n">
        <v>280</v>
      </c>
      <c r="Z723" t="n">
        <v>231</v>
      </c>
      <c r="AA723" t="n">
        <v>240</v>
      </c>
      <c r="AB723" t="n">
        <v>2</v>
      </c>
      <c r="AC723" t="n">
        <v>2</v>
      </c>
      <c r="AD723" t="n">
        <v>6</v>
      </c>
      <c r="AE723" t="n">
        <v>6</v>
      </c>
      <c r="AF723" t="n">
        <v>3</v>
      </c>
      <c r="AG723" t="n">
        <v>3</v>
      </c>
      <c r="AH723" t="n">
        <v>0</v>
      </c>
      <c r="AI723" t="n">
        <v>0</v>
      </c>
      <c r="AJ723" t="n">
        <v>4</v>
      </c>
      <c r="AK723" t="n">
        <v>4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HYPERLINK("http://catalog.hathitrust.org/Record/004032192","HathiTrust Record")</f>
        <v/>
      </c>
      <c r="AS723">
        <f>HYPERLINK("https://creighton-primo.hosted.exlibrisgroup.com/primo-explore/search?tab=default_tab&amp;search_scope=EVERYTHING&amp;vid=01CRU&amp;lang=en_US&amp;offset=0&amp;query=any,contains,991002362209702656","Catalog Record")</f>
        <v/>
      </c>
      <c r="AT723">
        <f>HYPERLINK("http://www.worldcat.org/oclc/30725937","WorldCat Record")</f>
        <v/>
      </c>
      <c r="AU723" t="inlineStr">
        <is>
          <t>32909892:eng</t>
        </is>
      </c>
      <c r="AV723" t="inlineStr">
        <is>
          <t>30725937</t>
        </is>
      </c>
      <c r="AW723" t="inlineStr">
        <is>
          <t>991002362209702656</t>
        </is>
      </c>
      <c r="AX723" t="inlineStr">
        <is>
          <t>991002362209702656</t>
        </is>
      </c>
      <c r="AY723" t="inlineStr">
        <is>
          <t>2266733930002656</t>
        </is>
      </c>
      <c r="AZ723" t="inlineStr">
        <is>
          <t>BOOK</t>
        </is>
      </c>
      <c r="BB723" t="inlineStr">
        <is>
          <t>9781555832605</t>
        </is>
      </c>
      <c r="BC723" t="inlineStr">
        <is>
          <t>32285002319894</t>
        </is>
      </c>
      <c r="BD723" t="inlineStr">
        <is>
          <t>893341341</t>
        </is>
      </c>
    </row>
    <row r="724">
      <c r="A724" t="inlineStr">
        <is>
          <t>No</t>
        </is>
      </c>
      <c r="B724" t="inlineStr">
        <is>
          <t>HV6545.8 .S85 1991</t>
        </is>
      </c>
      <c r="C724" t="inlineStr">
        <is>
          <t>0                      HV 6545800S  85          1991</t>
        </is>
      </c>
      <c r="D724" t="inlineStr">
        <is>
          <t>Suicide prevention in schools / edited by Antoon A. Leenaars and Susanne Wenckstern.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New York : Hemisphere, c1991.</t>
        </is>
      </c>
      <c r="M724" t="inlineStr">
        <is>
          <t>1991</t>
        </is>
      </c>
      <c r="O724" t="inlineStr">
        <is>
          <t>eng</t>
        </is>
      </c>
      <c r="P724" t="inlineStr">
        <is>
          <t>dcu</t>
        </is>
      </c>
      <c r="Q724" t="inlineStr">
        <is>
          <t>Series in death education, aging, and health care, 0275-3510</t>
        </is>
      </c>
      <c r="R724" t="inlineStr">
        <is>
          <t xml:space="preserve">HV </t>
        </is>
      </c>
      <c r="S724" t="n">
        <v>22</v>
      </c>
      <c r="T724" t="n">
        <v>22</v>
      </c>
      <c r="U724" t="inlineStr">
        <is>
          <t>2005-08-24</t>
        </is>
      </c>
      <c r="V724" t="inlineStr">
        <is>
          <t>2005-08-24</t>
        </is>
      </c>
      <c r="W724" t="inlineStr">
        <is>
          <t>1991-12-13</t>
        </is>
      </c>
      <c r="X724" t="inlineStr">
        <is>
          <t>1991-12-13</t>
        </is>
      </c>
      <c r="Y724" t="n">
        <v>378</v>
      </c>
      <c r="Z724" t="n">
        <v>283</v>
      </c>
      <c r="AA724" t="n">
        <v>301</v>
      </c>
      <c r="AB724" t="n">
        <v>3</v>
      </c>
      <c r="AC724" t="n">
        <v>3</v>
      </c>
      <c r="AD724" t="n">
        <v>12</v>
      </c>
      <c r="AE724" t="n">
        <v>12</v>
      </c>
      <c r="AF724" t="n">
        <v>3</v>
      </c>
      <c r="AG724" t="n">
        <v>3</v>
      </c>
      <c r="AH724" t="n">
        <v>2</v>
      </c>
      <c r="AI724" t="n">
        <v>2</v>
      </c>
      <c r="AJ724" t="n">
        <v>7</v>
      </c>
      <c r="AK724" t="n">
        <v>7</v>
      </c>
      <c r="AL724" t="n">
        <v>2</v>
      </c>
      <c r="AM724" t="n">
        <v>2</v>
      </c>
      <c r="AN724" t="n">
        <v>0</v>
      </c>
      <c r="AO724" t="n">
        <v>0</v>
      </c>
      <c r="AP724" t="inlineStr">
        <is>
          <t>No</t>
        </is>
      </c>
      <c r="AQ724" t="inlineStr">
        <is>
          <t>No</t>
        </is>
      </c>
      <c r="AS724">
        <f>HYPERLINK("https://creighton-primo.hosted.exlibrisgroup.com/primo-explore/search?tab=default_tab&amp;search_scope=EVERYTHING&amp;vid=01CRU&amp;lang=en_US&amp;offset=0&amp;query=any,contains,991001699099702656","Catalog Record")</f>
        <v/>
      </c>
      <c r="AT724">
        <f>HYPERLINK("http://www.worldcat.org/oclc/21520842","WorldCat Record")</f>
        <v/>
      </c>
      <c r="AU724" t="inlineStr">
        <is>
          <t>355610100:eng</t>
        </is>
      </c>
      <c r="AV724" t="inlineStr">
        <is>
          <t>21520842</t>
        </is>
      </c>
      <c r="AW724" t="inlineStr">
        <is>
          <t>991001699099702656</t>
        </is>
      </c>
      <c r="AX724" t="inlineStr">
        <is>
          <t>991001699099702656</t>
        </is>
      </c>
      <c r="AY724" t="inlineStr">
        <is>
          <t>2257373240002656</t>
        </is>
      </c>
      <c r="AZ724" t="inlineStr">
        <is>
          <t>BOOK</t>
        </is>
      </c>
      <c r="BB724" t="inlineStr">
        <is>
          <t>9781560320814</t>
        </is>
      </c>
      <c r="BC724" t="inlineStr">
        <is>
          <t>32285000818947</t>
        </is>
      </c>
      <c r="BD724" t="inlineStr">
        <is>
          <t>893797750</t>
        </is>
      </c>
    </row>
    <row r="725">
      <c r="A725" t="inlineStr">
        <is>
          <t>No</t>
        </is>
      </c>
      <c r="B725" t="inlineStr">
        <is>
          <t>HV6546 .B46 1991</t>
        </is>
      </c>
      <c r="C725" t="inlineStr">
        <is>
          <t>0                      HV 6546000B  46          1991</t>
        </is>
      </c>
      <c r="D725" t="inlineStr">
        <is>
          <t>Adolescent suicide : assessment and intervention / Alan L. Berman and David A. Jobes.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Berman, Alan L. (Alan Lee), 1943-</t>
        </is>
      </c>
      <c r="L725" t="inlineStr">
        <is>
          <t>Washington, D.C. : American Psychological Association, c1991.</t>
        </is>
      </c>
      <c r="M725" t="inlineStr">
        <is>
          <t>1991</t>
        </is>
      </c>
      <c r="N725" t="inlineStr">
        <is>
          <t>1st ed.</t>
        </is>
      </c>
      <c r="O725" t="inlineStr">
        <is>
          <t>eng</t>
        </is>
      </c>
      <c r="P725" t="inlineStr">
        <is>
          <t>dcu</t>
        </is>
      </c>
      <c r="R725" t="inlineStr">
        <is>
          <t xml:space="preserve">HV </t>
        </is>
      </c>
      <c r="S725" t="n">
        <v>52</v>
      </c>
      <c r="T725" t="n">
        <v>52</v>
      </c>
      <c r="U725" t="inlineStr">
        <is>
          <t>2008-06-22</t>
        </is>
      </c>
      <c r="V725" t="inlineStr">
        <is>
          <t>2008-06-22</t>
        </is>
      </c>
      <c r="W725" t="inlineStr">
        <is>
          <t>1991-08-06</t>
        </is>
      </c>
      <c r="X725" t="inlineStr">
        <is>
          <t>1991-08-06</t>
        </is>
      </c>
      <c r="Y725" t="n">
        <v>722</v>
      </c>
      <c r="Z725" t="n">
        <v>599</v>
      </c>
      <c r="AA725" t="n">
        <v>1015</v>
      </c>
      <c r="AB725" t="n">
        <v>5</v>
      </c>
      <c r="AC725" t="n">
        <v>6</v>
      </c>
      <c r="AD725" t="n">
        <v>27</v>
      </c>
      <c r="AE725" t="n">
        <v>42</v>
      </c>
      <c r="AF725" t="n">
        <v>10</v>
      </c>
      <c r="AG725" t="n">
        <v>19</v>
      </c>
      <c r="AH725" t="n">
        <v>7</v>
      </c>
      <c r="AI725" t="n">
        <v>9</v>
      </c>
      <c r="AJ725" t="n">
        <v>11</v>
      </c>
      <c r="AK725" t="n">
        <v>19</v>
      </c>
      <c r="AL725" t="n">
        <v>4</v>
      </c>
      <c r="AM725" t="n">
        <v>5</v>
      </c>
      <c r="AN725" t="n">
        <v>0</v>
      </c>
      <c r="AO725" t="n">
        <v>0</v>
      </c>
      <c r="AP725" t="inlineStr">
        <is>
          <t>No</t>
        </is>
      </c>
      <c r="AQ725" t="inlineStr">
        <is>
          <t>No</t>
        </is>
      </c>
      <c r="AS725">
        <f>HYPERLINK("https://creighton-primo.hosted.exlibrisgroup.com/primo-explore/search?tab=default_tab&amp;search_scope=EVERYTHING&amp;vid=01CRU&amp;lang=en_US&amp;offset=0&amp;query=any,contains,991001843729702656","Catalog Record")</f>
        <v/>
      </c>
      <c r="AT725">
        <f>HYPERLINK("http://www.worldcat.org/oclc/23144805","WorldCat Record")</f>
        <v/>
      </c>
      <c r="AU725" t="inlineStr">
        <is>
          <t>2063697:eng</t>
        </is>
      </c>
      <c r="AV725" t="inlineStr">
        <is>
          <t>23144805</t>
        </is>
      </c>
      <c r="AW725" t="inlineStr">
        <is>
          <t>991001843729702656</t>
        </is>
      </c>
      <c r="AX725" t="inlineStr">
        <is>
          <t>991001843729702656</t>
        </is>
      </c>
      <c r="AY725" t="inlineStr">
        <is>
          <t>2266180610002656</t>
        </is>
      </c>
      <c r="AZ725" t="inlineStr">
        <is>
          <t>BOOK</t>
        </is>
      </c>
      <c r="BB725" t="inlineStr">
        <is>
          <t>9781557981141</t>
        </is>
      </c>
      <c r="BC725" t="inlineStr">
        <is>
          <t>32285000664937</t>
        </is>
      </c>
      <c r="BD725" t="inlineStr">
        <is>
          <t>893866525</t>
        </is>
      </c>
    </row>
    <row r="726">
      <c r="A726" t="inlineStr">
        <is>
          <t>No</t>
        </is>
      </c>
      <c r="B726" t="inlineStr">
        <is>
          <t>HV6546 .C87 1987</t>
        </is>
      </c>
      <c r="C726" t="inlineStr">
        <is>
          <t>0                      HV 6546000C  87          1987</t>
        </is>
      </c>
      <c r="D726" t="inlineStr">
        <is>
          <t>Adolescent suicidal behavior / David K. Curran.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Curran, David K., 1951-</t>
        </is>
      </c>
      <c r="L726" t="inlineStr">
        <is>
          <t>Washington : Hemisphere Pub. Corp., c1987.</t>
        </is>
      </c>
      <c r="M726" t="inlineStr">
        <is>
          <t>1987</t>
        </is>
      </c>
      <c r="O726" t="inlineStr">
        <is>
          <t>eng</t>
        </is>
      </c>
      <c r="P726" t="inlineStr">
        <is>
          <t>dcu</t>
        </is>
      </c>
      <c r="Q726" t="inlineStr">
        <is>
          <t>Series in death education, aging, and health care</t>
        </is>
      </c>
      <c r="R726" t="inlineStr">
        <is>
          <t xml:space="preserve">HV </t>
        </is>
      </c>
      <c r="S726" t="n">
        <v>50</v>
      </c>
      <c r="T726" t="n">
        <v>50</v>
      </c>
      <c r="U726" t="inlineStr">
        <is>
          <t>2006-11-03</t>
        </is>
      </c>
      <c r="V726" t="inlineStr">
        <is>
          <t>2006-11-03</t>
        </is>
      </c>
      <c r="W726" t="inlineStr">
        <is>
          <t>1990-04-25</t>
        </is>
      </c>
      <c r="X726" t="inlineStr">
        <is>
          <t>1990-04-25</t>
        </is>
      </c>
      <c r="Y726" t="n">
        <v>947</v>
      </c>
      <c r="Z726" t="n">
        <v>837</v>
      </c>
      <c r="AA726" t="n">
        <v>864</v>
      </c>
      <c r="AB726" t="n">
        <v>6</v>
      </c>
      <c r="AC726" t="n">
        <v>6</v>
      </c>
      <c r="AD726" t="n">
        <v>32</v>
      </c>
      <c r="AE726" t="n">
        <v>32</v>
      </c>
      <c r="AF726" t="n">
        <v>11</v>
      </c>
      <c r="AG726" t="n">
        <v>11</v>
      </c>
      <c r="AH726" t="n">
        <v>8</v>
      </c>
      <c r="AI726" t="n">
        <v>8</v>
      </c>
      <c r="AJ726" t="n">
        <v>14</v>
      </c>
      <c r="AK726" t="n">
        <v>14</v>
      </c>
      <c r="AL726" t="n">
        <v>5</v>
      </c>
      <c r="AM726" t="n">
        <v>5</v>
      </c>
      <c r="AN726" t="n">
        <v>0</v>
      </c>
      <c r="AO726" t="n">
        <v>0</v>
      </c>
      <c r="AP726" t="inlineStr">
        <is>
          <t>No</t>
        </is>
      </c>
      <c r="AQ726" t="inlineStr">
        <is>
          <t>No</t>
        </is>
      </c>
      <c r="AS726">
        <f>HYPERLINK("https://creighton-primo.hosted.exlibrisgroup.com/primo-explore/search?tab=default_tab&amp;search_scope=EVERYTHING&amp;vid=01CRU&amp;lang=en_US&amp;offset=0&amp;query=any,contains,991001029459702656","Catalog Record")</f>
        <v/>
      </c>
      <c r="AT726">
        <f>HYPERLINK("http://www.worldcat.org/oclc/15489742","WorldCat Record")</f>
        <v/>
      </c>
      <c r="AU726" t="inlineStr">
        <is>
          <t>2864077:eng</t>
        </is>
      </c>
      <c r="AV726" t="inlineStr">
        <is>
          <t>15489742</t>
        </is>
      </c>
      <c r="AW726" t="inlineStr">
        <is>
          <t>991001029459702656</t>
        </is>
      </c>
      <c r="AX726" t="inlineStr">
        <is>
          <t>991001029459702656</t>
        </is>
      </c>
      <c r="AY726" t="inlineStr">
        <is>
          <t>2272456020002656</t>
        </is>
      </c>
      <c r="AZ726" t="inlineStr">
        <is>
          <t>BOOK</t>
        </is>
      </c>
      <c r="BB726" t="inlineStr">
        <is>
          <t>9780891166184</t>
        </is>
      </c>
      <c r="BC726" t="inlineStr">
        <is>
          <t>32285000133180</t>
        </is>
      </c>
      <c r="BD726" t="inlineStr">
        <is>
          <t>893626542</t>
        </is>
      </c>
    </row>
    <row r="727">
      <c r="A727" t="inlineStr">
        <is>
          <t>No</t>
        </is>
      </c>
      <c r="B727" t="inlineStr">
        <is>
          <t>HV6546 .D39 1983</t>
        </is>
      </c>
      <c r="C727" t="inlineStr">
        <is>
          <t>0                      HV 6546000D  39          1983</t>
        </is>
      </c>
      <c r="D727" t="inlineStr">
        <is>
          <t>Suicidal adolescents / by Patricia A. Davis ; with a foreword by Charles Neuringer.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Davis, Patricia A.</t>
        </is>
      </c>
      <c r="L727" t="inlineStr">
        <is>
          <t>Springfield, Ill., U.S.A. : C.C. Thomas, c1983.</t>
        </is>
      </c>
      <c r="M727" t="inlineStr">
        <is>
          <t>1983</t>
        </is>
      </c>
      <c r="O727" t="inlineStr">
        <is>
          <t>eng</t>
        </is>
      </c>
      <c r="P727" t="inlineStr">
        <is>
          <t>ilu</t>
        </is>
      </c>
      <c r="R727" t="inlineStr">
        <is>
          <t xml:space="preserve">HV </t>
        </is>
      </c>
      <c r="S727" t="n">
        <v>29</v>
      </c>
      <c r="T727" t="n">
        <v>29</v>
      </c>
      <c r="U727" t="inlineStr">
        <is>
          <t>2006-07-21</t>
        </is>
      </c>
      <c r="V727" t="inlineStr">
        <is>
          <t>2006-07-21</t>
        </is>
      </c>
      <c r="W727" t="inlineStr">
        <is>
          <t>1992-02-24</t>
        </is>
      </c>
      <c r="X727" t="inlineStr">
        <is>
          <t>1992-02-24</t>
        </is>
      </c>
      <c r="Y727" t="n">
        <v>405</v>
      </c>
      <c r="Z727" t="n">
        <v>359</v>
      </c>
      <c r="AA727" t="n">
        <v>360</v>
      </c>
      <c r="AB727" t="n">
        <v>4</v>
      </c>
      <c r="AC727" t="n">
        <v>4</v>
      </c>
      <c r="AD727" t="n">
        <v>16</v>
      </c>
      <c r="AE727" t="n">
        <v>16</v>
      </c>
      <c r="AF727" t="n">
        <v>6</v>
      </c>
      <c r="AG727" t="n">
        <v>6</v>
      </c>
      <c r="AH727" t="n">
        <v>3</v>
      </c>
      <c r="AI727" t="n">
        <v>3</v>
      </c>
      <c r="AJ727" t="n">
        <v>7</v>
      </c>
      <c r="AK727" t="n">
        <v>7</v>
      </c>
      <c r="AL727" t="n">
        <v>3</v>
      </c>
      <c r="AM727" t="n">
        <v>3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HYPERLINK("https://creighton-primo.hosted.exlibrisgroup.com/primo-explore/search?tab=default_tab&amp;search_scope=EVERYTHING&amp;vid=01CRU&amp;lang=en_US&amp;offset=0&amp;query=any,contains,991000228499702656","Catalog Record")</f>
        <v/>
      </c>
      <c r="AT727">
        <f>HYPERLINK("http://www.worldcat.org/oclc/9622431","WorldCat Record")</f>
        <v/>
      </c>
      <c r="AU727" t="inlineStr">
        <is>
          <t>43193237:eng</t>
        </is>
      </c>
      <c r="AV727" t="inlineStr">
        <is>
          <t>9622431</t>
        </is>
      </c>
      <c r="AW727" t="inlineStr">
        <is>
          <t>991000228499702656</t>
        </is>
      </c>
      <c r="AX727" t="inlineStr">
        <is>
          <t>991000228499702656</t>
        </is>
      </c>
      <c r="AY727" t="inlineStr">
        <is>
          <t>2269435460002656</t>
        </is>
      </c>
      <c r="AZ727" t="inlineStr">
        <is>
          <t>BOOK</t>
        </is>
      </c>
      <c r="BB727" t="inlineStr">
        <is>
          <t>9780398048662</t>
        </is>
      </c>
      <c r="BC727" t="inlineStr">
        <is>
          <t>32285000974872</t>
        </is>
      </c>
      <c r="BD727" t="inlineStr">
        <is>
          <t>893790357</t>
        </is>
      </c>
    </row>
    <row r="728">
      <c r="A728" t="inlineStr">
        <is>
          <t>No</t>
        </is>
      </c>
      <c r="B728" t="inlineStr">
        <is>
          <t>HV6546 .H352 1974</t>
        </is>
      </c>
      <c r="C728" t="inlineStr">
        <is>
          <t>0                      HV 6546000H  352         1974</t>
        </is>
      </c>
      <c r="D728" t="inlineStr">
        <is>
          <t>Adolescent suicide / André Haim ; translated by A. M. Sheridan Smith.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Haim, André, 1924-1969.</t>
        </is>
      </c>
      <c r="L728" t="inlineStr">
        <is>
          <t>New York : International Universities Press, c1974.</t>
        </is>
      </c>
      <c r="M728" t="inlineStr">
        <is>
          <t>1974</t>
        </is>
      </c>
      <c r="O728" t="inlineStr">
        <is>
          <t>eng</t>
        </is>
      </c>
      <c r="P728" t="inlineStr">
        <is>
          <t>nyu</t>
        </is>
      </c>
      <c r="R728" t="inlineStr">
        <is>
          <t xml:space="preserve">HV </t>
        </is>
      </c>
      <c r="S728" t="n">
        <v>16</v>
      </c>
      <c r="T728" t="n">
        <v>16</v>
      </c>
      <c r="U728" t="inlineStr">
        <is>
          <t>2005-08-24</t>
        </is>
      </c>
      <c r="V728" t="inlineStr">
        <is>
          <t>2005-08-24</t>
        </is>
      </c>
      <c r="W728" t="inlineStr">
        <is>
          <t>1990-04-25</t>
        </is>
      </c>
      <c r="X728" t="inlineStr">
        <is>
          <t>1990-04-25</t>
        </is>
      </c>
      <c r="Y728" t="n">
        <v>460</v>
      </c>
      <c r="Z728" t="n">
        <v>395</v>
      </c>
      <c r="AA728" t="n">
        <v>419</v>
      </c>
      <c r="AB728" t="n">
        <v>3</v>
      </c>
      <c r="AC728" t="n">
        <v>3</v>
      </c>
      <c r="AD728" t="n">
        <v>14</v>
      </c>
      <c r="AE728" t="n">
        <v>14</v>
      </c>
      <c r="AF728" t="n">
        <v>5</v>
      </c>
      <c r="AG728" t="n">
        <v>5</v>
      </c>
      <c r="AH728" t="n">
        <v>4</v>
      </c>
      <c r="AI728" t="n">
        <v>4</v>
      </c>
      <c r="AJ728" t="n">
        <v>5</v>
      </c>
      <c r="AK728" t="n">
        <v>5</v>
      </c>
      <c r="AL728" t="n">
        <v>1</v>
      </c>
      <c r="AM728" t="n">
        <v>1</v>
      </c>
      <c r="AN728" t="n">
        <v>1</v>
      </c>
      <c r="AO728" t="n">
        <v>1</v>
      </c>
      <c r="AP728" t="inlineStr">
        <is>
          <t>No</t>
        </is>
      </c>
      <c r="AQ728" t="inlineStr">
        <is>
          <t>Yes</t>
        </is>
      </c>
      <c r="AR728">
        <f>HYPERLINK("http://catalog.hathitrust.org/Record/000018853","HathiTrust Record")</f>
        <v/>
      </c>
      <c r="AS728">
        <f>HYPERLINK("https://creighton-primo.hosted.exlibrisgroup.com/primo-explore/search?tab=default_tab&amp;search_scope=EVERYTHING&amp;vid=01CRU&amp;lang=en_US&amp;offset=0&amp;query=any,contains,991003621449702656","Catalog Record")</f>
        <v/>
      </c>
      <c r="AT728">
        <f>HYPERLINK("http://www.worldcat.org/oclc/1208808","WorldCat Record")</f>
        <v/>
      </c>
      <c r="AU728" t="inlineStr">
        <is>
          <t>489143:eng</t>
        </is>
      </c>
      <c r="AV728" t="inlineStr">
        <is>
          <t>1208808</t>
        </is>
      </c>
      <c r="AW728" t="inlineStr">
        <is>
          <t>991003621449702656</t>
        </is>
      </c>
      <c r="AX728" t="inlineStr">
        <is>
          <t>991003621449702656</t>
        </is>
      </c>
      <c r="AY728" t="inlineStr">
        <is>
          <t>2269134840002656</t>
        </is>
      </c>
      <c r="AZ728" t="inlineStr">
        <is>
          <t>BOOK</t>
        </is>
      </c>
      <c r="BB728" t="inlineStr">
        <is>
          <t>9780823600908</t>
        </is>
      </c>
      <c r="BC728" t="inlineStr">
        <is>
          <t>32285000133198</t>
        </is>
      </c>
      <c r="BD728" t="inlineStr">
        <is>
          <t>893422762</t>
        </is>
      </c>
    </row>
    <row r="729">
      <c r="A729" t="inlineStr">
        <is>
          <t>No</t>
        </is>
      </c>
      <c r="B729" t="inlineStr">
        <is>
          <t>HV6546 .H39 1986</t>
        </is>
      </c>
      <c r="C729" t="inlineStr">
        <is>
          <t>0                      HV 6546000H  39          1986</t>
        </is>
      </c>
      <c r="D729" t="inlineStr">
        <is>
          <t>Suicide and attempted suicide among children and adolescents / by Keith Hawton.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Hawton, Keith, 1942-</t>
        </is>
      </c>
      <c r="L729" t="inlineStr">
        <is>
          <t>Beverly Hills : Sage Publications, c1986.</t>
        </is>
      </c>
      <c r="M729" t="inlineStr">
        <is>
          <t>1986</t>
        </is>
      </c>
      <c r="O729" t="inlineStr">
        <is>
          <t>eng</t>
        </is>
      </c>
      <c r="P729" t="inlineStr">
        <is>
          <t>cau</t>
        </is>
      </c>
      <c r="Q729" t="inlineStr">
        <is>
          <t>Developmental clinical psychology and psychiatry series ; v. 5</t>
        </is>
      </c>
      <c r="R729" t="inlineStr">
        <is>
          <t xml:space="preserve">HV </t>
        </is>
      </c>
      <c r="S729" t="n">
        <v>42</v>
      </c>
      <c r="T729" t="n">
        <v>42</v>
      </c>
      <c r="U729" t="inlineStr">
        <is>
          <t>2008-06-22</t>
        </is>
      </c>
      <c r="V729" t="inlineStr">
        <is>
          <t>2008-06-22</t>
        </is>
      </c>
      <c r="W729" t="inlineStr">
        <is>
          <t>1990-04-25</t>
        </is>
      </c>
      <c r="X729" t="inlineStr">
        <is>
          <t>1990-04-25</t>
        </is>
      </c>
      <c r="Y729" t="n">
        <v>657</v>
      </c>
      <c r="Z729" t="n">
        <v>508</v>
      </c>
      <c r="AA729" t="n">
        <v>510</v>
      </c>
      <c r="AB729" t="n">
        <v>4</v>
      </c>
      <c r="AC729" t="n">
        <v>4</v>
      </c>
      <c r="AD729" t="n">
        <v>17</v>
      </c>
      <c r="AE729" t="n">
        <v>17</v>
      </c>
      <c r="AF729" t="n">
        <v>5</v>
      </c>
      <c r="AG729" t="n">
        <v>5</v>
      </c>
      <c r="AH729" t="n">
        <v>4</v>
      </c>
      <c r="AI729" t="n">
        <v>4</v>
      </c>
      <c r="AJ729" t="n">
        <v>12</v>
      </c>
      <c r="AK729" t="n">
        <v>12</v>
      </c>
      <c r="AL729" t="n">
        <v>3</v>
      </c>
      <c r="AM729" t="n">
        <v>3</v>
      </c>
      <c r="AN729" t="n">
        <v>0</v>
      </c>
      <c r="AO729" t="n">
        <v>0</v>
      </c>
      <c r="AP729" t="inlineStr">
        <is>
          <t>No</t>
        </is>
      </c>
      <c r="AQ729" t="inlineStr">
        <is>
          <t>Yes</t>
        </is>
      </c>
      <c r="AR729">
        <f>HYPERLINK("http://catalog.hathitrust.org/Record/000673898","HathiTrust Record")</f>
        <v/>
      </c>
      <c r="AS729">
        <f>HYPERLINK("https://creighton-primo.hosted.exlibrisgroup.com/primo-explore/search?tab=default_tab&amp;search_scope=EVERYTHING&amp;vid=01CRU&amp;lang=en_US&amp;offset=0&amp;query=any,contains,991000662139702656","Catalog Record")</f>
        <v/>
      </c>
      <c r="AT729">
        <f>HYPERLINK("http://www.worldcat.org/oclc/12262030","WorldCat Record")</f>
        <v/>
      </c>
      <c r="AU729" t="inlineStr">
        <is>
          <t>4904162:eng</t>
        </is>
      </c>
      <c r="AV729" t="inlineStr">
        <is>
          <t>12262030</t>
        </is>
      </c>
      <c r="AW729" t="inlineStr">
        <is>
          <t>991000662139702656</t>
        </is>
      </c>
      <c r="AX729" t="inlineStr">
        <is>
          <t>991000662139702656</t>
        </is>
      </c>
      <c r="AY729" t="inlineStr">
        <is>
          <t>2270692340002656</t>
        </is>
      </c>
      <c r="AZ729" t="inlineStr">
        <is>
          <t>BOOK</t>
        </is>
      </c>
      <c r="BB729" t="inlineStr">
        <is>
          <t>9780803925236</t>
        </is>
      </c>
      <c r="BC729" t="inlineStr">
        <is>
          <t>32285000133206</t>
        </is>
      </c>
      <c r="BD729" t="inlineStr">
        <is>
          <t>893528273</t>
        </is>
      </c>
    </row>
    <row r="730">
      <c r="A730" t="inlineStr">
        <is>
          <t>No</t>
        </is>
      </c>
      <c r="B730" t="inlineStr">
        <is>
          <t>HV6546 .H46 1987</t>
        </is>
      </c>
      <c r="C730" t="inlineStr">
        <is>
          <t>0                      HV 6546000H  46          1987</t>
        </is>
      </c>
      <c r="D730" t="inlineStr">
        <is>
          <t>A time to listen : preventing youth suicide / by Patricia Hermes.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Hermes, Patricia.</t>
        </is>
      </c>
      <c r="L730" t="inlineStr">
        <is>
          <t>San Diego : Harcourt Brace Jovanovich, c1987.</t>
        </is>
      </c>
      <c r="M730" t="inlineStr">
        <is>
          <t>1987</t>
        </is>
      </c>
      <c r="N730" t="inlineStr">
        <is>
          <t>1st ed.</t>
        </is>
      </c>
      <c r="O730" t="inlineStr">
        <is>
          <t>eng</t>
        </is>
      </c>
      <c r="P730" t="inlineStr">
        <is>
          <t>cau</t>
        </is>
      </c>
      <c r="R730" t="inlineStr">
        <is>
          <t xml:space="preserve">HV </t>
        </is>
      </c>
      <c r="S730" t="n">
        <v>6</v>
      </c>
      <c r="T730" t="n">
        <v>6</v>
      </c>
      <c r="U730" t="inlineStr">
        <is>
          <t>2005-03-15</t>
        </is>
      </c>
      <c r="V730" t="inlineStr">
        <is>
          <t>2005-03-15</t>
        </is>
      </c>
      <c r="W730" t="inlineStr">
        <is>
          <t>1996-08-01</t>
        </is>
      </c>
      <c r="X730" t="inlineStr">
        <is>
          <t>1996-08-01</t>
        </is>
      </c>
      <c r="Y730" t="n">
        <v>564</v>
      </c>
      <c r="Z730" t="n">
        <v>545</v>
      </c>
      <c r="AA730" t="n">
        <v>550</v>
      </c>
      <c r="AB730" t="n">
        <v>4</v>
      </c>
      <c r="AC730" t="n">
        <v>4</v>
      </c>
      <c r="AD730" t="n">
        <v>2</v>
      </c>
      <c r="AE730" t="n">
        <v>2</v>
      </c>
      <c r="AF730" t="n">
        <v>0</v>
      </c>
      <c r="AG730" t="n">
        <v>0</v>
      </c>
      <c r="AH730" t="n">
        <v>0</v>
      </c>
      <c r="AI730" t="n">
        <v>0</v>
      </c>
      <c r="AJ730" t="n">
        <v>1</v>
      </c>
      <c r="AK730" t="n">
        <v>1</v>
      </c>
      <c r="AL730" t="n">
        <v>1</v>
      </c>
      <c r="AM730" t="n">
        <v>1</v>
      </c>
      <c r="AN730" t="n">
        <v>0</v>
      </c>
      <c r="AO730" t="n">
        <v>0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HYPERLINK("https://creighton-primo.hosted.exlibrisgroup.com/primo-explore/search?tab=default_tab&amp;search_scope=EVERYTHING&amp;vid=01CRU&amp;lang=en_US&amp;offset=0&amp;query=any,contains,991001064159702656","Catalog Record")</f>
        <v/>
      </c>
      <c r="AT730">
        <f>HYPERLINK("http://www.worldcat.org/oclc/15792196","WorldCat Record")</f>
        <v/>
      </c>
      <c r="AU730" t="inlineStr">
        <is>
          <t>5164589354:eng</t>
        </is>
      </c>
      <c r="AV730" t="inlineStr">
        <is>
          <t>15792196</t>
        </is>
      </c>
      <c r="AW730" t="inlineStr">
        <is>
          <t>991001064159702656</t>
        </is>
      </c>
      <c r="AX730" t="inlineStr">
        <is>
          <t>991001064159702656</t>
        </is>
      </c>
      <c r="AY730" t="inlineStr">
        <is>
          <t>2261764370002656</t>
        </is>
      </c>
      <c r="AZ730" t="inlineStr">
        <is>
          <t>BOOK</t>
        </is>
      </c>
      <c r="BB730" t="inlineStr">
        <is>
          <t>9780152881962</t>
        </is>
      </c>
      <c r="BC730" t="inlineStr">
        <is>
          <t>32285002208980</t>
        </is>
      </c>
      <c r="BD730" t="inlineStr">
        <is>
          <t>893596155</t>
        </is>
      </c>
    </row>
    <row r="731">
      <c r="A731" t="inlineStr">
        <is>
          <t>No</t>
        </is>
      </c>
      <c r="B731" t="inlineStr">
        <is>
          <t>HV6546 .H87 1984</t>
        </is>
      </c>
      <c r="C731" t="inlineStr">
        <is>
          <t>0                      HV 6546000H  87          1984</t>
        </is>
      </c>
      <c r="D731" t="inlineStr">
        <is>
          <t>Suicide in children and adolescents / by Syed Arshad Husain and Trish Vandiver.</t>
        </is>
      </c>
      <c r="F731" t="inlineStr">
        <is>
          <t>No</t>
        </is>
      </c>
      <c r="G731" t="inlineStr">
        <is>
          <t>1</t>
        </is>
      </c>
      <c r="H731" t="inlineStr">
        <is>
          <t>Yes</t>
        </is>
      </c>
      <c r="I731" t="inlineStr">
        <is>
          <t>No</t>
        </is>
      </c>
      <c r="J731" t="inlineStr">
        <is>
          <t>0</t>
        </is>
      </c>
      <c r="K731" t="inlineStr">
        <is>
          <t>Husain, Syed Arshad.</t>
        </is>
      </c>
      <c r="L731" t="inlineStr">
        <is>
          <t>New York : SP Medical &amp; Scientific Books, c1984.</t>
        </is>
      </c>
      <c r="M731" t="inlineStr">
        <is>
          <t>1984</t>
        </is>
      </c>
      <c r="O731" t="inlineStr">
        <is>
          <t>eng</t>
        </is>
      </c>
      <c r="P731" t="inlineStr">
        <is>
          <t>nyu</t>
        </is>
      </c>
      <c r="Q731" t="inlineStr">
        <is>
          <t>Child behavior and development, 0193-7421</t>
        </is>
      </c>
      <c r="R731" t="inlineStr">
        <is>
          <t xml:space="preserve">HV </t>
        </is>
      </c>
      <c r="S731" t="n">
        <v>21</v>
      </c>
      <c r="T731" t="n">
        <v>21</v>
      </c>
      <c r="U731" t="inlineStr">
        <is>
          <t>2004-01-15</t>
        </is>
      </c>
      <c r="V731" t="inlineStr">
        <is>
          <t>2004-01-15</t>
        </is>
      </c>
      <c r="W731" t="inlineStr">
        <is>
          <t>1990-06-07</t>
        </is>
      </c>
      <c r="X731" t="inlineStr">
        <is>
          <t>1990-06-07</t>
        </is>
      </c>
      <c r="Y731" t="n">
        <v>439</v>
      </c>
      <c r="Z731" t="n">
        <v>405</v>
      </c>
      <c r="AA731" t="n">
        <v>442</v>
      </c>
      <c r="AB731" t="n">
        <v>4</v>
      </c>
      <c r="AC731" t="n">
        <v>4</v>
      </c>
      <c r="AD731" t="n">
        <v>11</v>
      </c>
      <c r="AE731" t="n">
        <v>14</v>
      </c>
      <c r="AF731" t="n">
        <v>6</v>
      </c>
      <c r="AG731" t="n">
        <v>7</v>
      </c>
      <c r="AH731" t="n">
        <v>2</v>
      </c>
      <c r="AI731" t="n">
        <v>3</v>
      </c>
      <c r="AJ731" t="n">
        <v>5</v>
      </c>
      <c r="AK731" t="n">
        <v>6</v>
      </c>
      <c r="AL731" t="n">
        <v>1</v>
      </c>
      <c r="AM731" t="n">
        <v>1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HYPERLINK("http://catalog.hathitrust.org/Record/000284774","HathiTrust Record")</f>
        <v/>
      </c>
      <c r="AS731">
        <f>HYPERLINK("https://creighton-primo.hosted.exlibrisgroup.com/primo-explore/search?tab=default_tab&amp;search_scope=EVERYTHING&amp;vid=01CRU&amp;lang=en_US&amp;offset=0&amp;query=any,contains,991000251939702656","Catalog Record")</f>
        <v/>
      </c>
      <c r="AT731">
        <f>HYPERLINK("http://www.worldcat.org/oclc/9758662","WorldCat Record")</f>
        <v/>
      </c>
      <c r="AU731" t="inlineStr">
        <is>
          <t>5009434:eng</t>
        </is>
      </c>
      <c r="AV731" t="inlineStr">
        <is>
          <t>9758662</t>
        </is>
      </c>
      <c r="AW731" t="inlineStr">
        <is>
          <t>991000251939702656</t>
        </is>
      </c>
      <c r="AX731" t="inlineStr">
        <is>
          <t>991000251939702656</t>
        </is>
      </c>
      <c r="AY731" t="inlineStr">
        <is>
          <t>2257005000002656</t>
        </is>
      </c>
      <c r="AZ731" t="inlineStr">
        <is>
          <t>BOOK</t>
        </is>
      </c>
      <c r="BB731" t="inlineStr">
        <is>
          <t>9780893351908</t>
        </is>
      </c>
      <c r="BC731" t="inlineStr">
        <is>
          <t>32285000183599</t>
        </is>
      </c>
      <c r="BD731" t="inlineStr">
        <is>
          <t>893496083</t>
        </is>
      </c>
    </row>
    <row r="732">
      <c r="A732" t="inlineStr">
        <is>
          <t>No</t>
        </is>
      </c>
      <c r="B732" t="inlineStr">
        <is>
          <t>HV6546 .R57 1991</t>
        </is>
      </c>
      <c r="C732" t="inlineStr">
        <is>
          <t>0                      HV 6546000R  57          1991</t>
        </is>
      </c>
      <c r="D732" t="inlineStr">
        <is>
          <t>Risks [sic] factors for youth suicide / edited by Lucy Davidson, Markku Linnoila.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L732" t="inlineStr">
        <is>
          <t>New York : Hemisphere Pub. Corp., c1991.</t>
        </is>
      </c>
      <c r="M732" t="inlineStr">
        <is>
          <t>1991</t>
        </is>
      </c>
      <c r="O732" t="inlineStr">
        <is>
          <t>eng</t>
        </is>
      </c>
      <c r="P732" t="inlineStr">
        <is>
          <t>nyu</t>
        </is>
      </c>
      <c r="Q732" t="inlineStr">
        <is>
          <t>Series in death education, aging, and health care</t>
        </is>
      </c>
      <c r="R732" t="inlineStr">
        <is>
          <t xml:space="preserve">HV </t>
        </is>
      </c>
      <c r="S732" t="n">
        <v>49</v>
      </c>
      <c r="T732" t="n">
        <v>49</v>
      </c>
      <c r="U732" t="inlineStr">
        <is>
          <t>2005-08-24</t>
        </is>
      </c>
      <c r="V732" t="inlineStr">
        <is>
          <t>2005-08-24</t>
        </is>
      </c>
      <c r="W732" t="inlineStr">
        <is>
          <t>1991-03-14</t>
        </is>
      </c>
      <c r="X732" t="inlineStr">
        <is>
          <t>1991-03-14</t>
        </is>
      </c>
      <c r="Y732" t="n">
        <v>267</v>
      </c>
      <c r="Z732" t="n">
        <v>211</v>
      </c>
      <c r="AA732" t="n">
        <v>244</v>
      </c>
      <c r="AB732" t="n">
        <v>3</v>
      </c>
      <c r="AC732" t="n">
        <v>3</v>
      </c>
      <c r="AD732" t="n">
        <v>12</v>
      </c>
      <c r="AE732" t="n">
        <v>12</v>
      </c>
      <c r="AF732" t="n">
        <v>4</v>
      </c>
      <c r="AG732" t="n">
        <v>4</v>
      </c>
      <c r="AH732" t="n">
        <v>4</v>
      </c>
      <c r="AI732" t="n">
        <v>4</v>
      </c>
      <c r="AJ732" t="n">
        <v>5</v>
      </c>
      <c r="AK732" t="n">
        <v>5</v>
      </c>
      <c r="AL732" t="n">
        <v>2</v>
      </c>
      <c r="AM732" t="n">
        <v>2</v>
      </c>
      <c r="AN732" t="n">
        <v>0</v>
      </c>
      <c r="AO732" t="n">
        <v>0</v>
      </c>
      <c r="AP732" t="inlineStr">
        <is>
          <t>No</t>
        </is>
      </c>
      <c r="AQ732" t="inlineStr">
        <is>
          <t>No</t>
        </is>
      </c>
      <c r="AS732">
        <f>HYPERLINK("https://creighton-primo.hosted.exlibrisgroup.com/primo-explore/search?tab=default_tab&amp;search_scope=EVERYTHING&amp;vid=01CRU&amp;lang=en_US&amp;offset=0&amp;query=any,contains,991001701629702656","Catalog Record")</f>
        <v/>
      </c>
      <c r="AT732">
        <f>HYPERLINK("http://www.worldcat.org/oclc/21524235","WorldCat Record")</f>
        <v/>
      </c>
      <c r="AU732" t="inlineStr">
        <is>
          <t>355591596:eng</t>
        </is>
      </c>
      <c r="AV732" t="inlineStr">
        <is>
          <t>21524235</t>
        </is>
      </c>
      <c r="AW732" t="inlineStr">
        <is>
          <t>991001701629702656</t>
        </is>
      </c>
      <c r="AX732" t="inlineStr">
        <is>
          <t>991001701629702656</t>
        </is>
      </c>
      <c r="AY732" t="inlineStr">
        <is>
          <t>2257120850002656</t>
        </is>
      </c>
      <c r="AZ732" t="inlineStr">
        <is>
          <t>BOOK</t>
        </is>
      </c>
      <c r="BB732" t="inlineStr">
        <is>
          <t>9781560321385</t>
        </is>
      </c>
      <c r="BC732" t="inlineStr">
        <is>
          <t>32285000512474</t>
        </is>
      </c>
      <c r="BD732" t="inlineStr">
        <is>
          <t>893439336</t>
        </is>
      </c>
    </row>
    <row r="733">
      <c r="A733" t="inlineStr">
        <is>
          <t>No</t>
        </is>
      </c>
      <c r="B733" t="inlineStr">
        <is>
          <t>HV6546 .R86 2004</t>
        </is>
      </c>
      <c r="C733" t="inlineStr">
        <is>
          <t>0                      HV 6546000R  86          2004</t>
        </is>
      </c>
      <c r="D733" t="inlineStr">
        <is>
          <t>The burn journals / Brent Runyon.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Runyon, Brent.</t>
        </is>
      </c>
      <c r="L733" t="inlineStr">
        <is>
          <t>New York : Alfred A. Knopf, c2004.</t>
        </is>
      </c>
      <c r="M733" t="inlineStr">
        <is>
          <t>2004</t>
        </is>
      </c>
      <c r="N733" t="inlineStr">
        <is>
          <t>1st ed.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HV </t>
        </is>
      </c>
      <c r="S733" t="n">
        <v>2</v>
      </c>
      <c r="T733" t="n">
        <v>2</v>
      </c>
      <c r="U733" t="inlineStr">
        <is>
          <t>2005-07-13</t>
        </is>
      </c>
      <c r="V733" t="inlineStr">
        <is>
          <t>2005-07-13</t>
        </is>
      </c>
      <c r="W733" t="inlineStr">
        <is>
          <t>2005-06-22</t>
        </is>
      </c>
      <c r="X733" t="inlineStr">
        <is>
          <t>2005-06-22</t>
        </is>
      </c>
      <c r="Y733" t="n">
        <v>1886</v>
      </c>
      <c r="Z733" t="n">
        <v>1850</v>
      </c>
      <c r="AA733" t="n">
        <v>2269</v>
      </c>
      <c r="AB733" t="n">
        <v>23</v>
      </c>
      <c r="AC733" t="n">
        <v>27</v>
      </c>
      <c r="AD733" t="n">
        <v>10</v>
      </c>
      <c r="AE733" t="n">
        <v>12</v>
      </c>
      <c r="AF733" t="n">
        <v>4</v>
      </c>
      <c r="AG733" t="n">
        <v>5</v>
      </c>
      <c r="AH733" t="n">
        <v>3</v>
      </c>
      <c r="AI733" t="n">
        <v>3</v>
      </c>
      <c r="AJ733" t="n">
        <v>2</v>
      </c>
      <c r="AK733" t="n">
        <v>3</v>
      </c>
      <c r="AL733" t="n">
        <v>2</v>
      </c>
      <c r="AM733" t="n">
        <v>2</v>
      </c>
      <c r="AN733" t="n">
        <v>0</v>
      </c>
      <c r="AO733" t="n">
        <v>0</v>
      </c>
      <c r="AP733" t="inlineStr">
        <is>
          <t>No</t>
        </is>
      </c>
      <c r="AQ733" t="inlineStr">
        <is>
          <t>No</t>
        </is>
      </c>
      <c r="AS733">
        <f>HYPERLINK("https://creighton-primo.hosted.exlibrisgroup.com/primo-explore/search?tab=default_tab&amp;search_scope=EVERYTHING&amp;vid=01CRU&amp;lang=en_US&amp;offset=0&amp;query=any,contains,991004584379702656","Catalog Record")</f>
        <v/>
      </c>
      <c r="AT733">
        <f>HYPERLINK("http://www.worldcat.org/oclc/54767355","WorldCat Record")</f>
        <v/>
      </c>
      <c r="AU733" t="inlineStr">
        <is>
          <t>13651528:eng</t>
        </is>
      </c>
      <c r="AV733" t="inlineStr">
        <is>
          <t>54767355</t>
        </is>
      </c>
      <c r="AW733" t="inlineStr">
        <is>
          <t>991004584379702656</t>
        </is>
      </c>
      <c r="AX733" t="inlineStr">
        <is>
          <t>991004584379702656</t>
        </is>
      </c>
      <c r="AY733" t="inlineStr">
        <is>
          <t>2271252930002656</t>
        </is>
      </c>
      <c r="AZ733" t="inlineStr">
        <is>
          <t>BOOK</t>
        </is>
      </c>
      <c r="BB733" t="inlineStr">
        <is>
          <t>9780375826214</t>
        </is>
      </c>
      <c r="BC733" t="inlineStr">
        <is>
          <t>32285005093918</t>
        </is>
      </c>
      <c r="BD733" t="inlineStr">
        <is>
          <t>893337892</t>
        </is>
      </c>
    </row>
    <row r="734">
      <c r="A734" t="inlineStr">
        <is>
          <t>No</t>
        </is>
      </c>
      <c r="B734" t="inlineStr">
        <is>
          <t>HV6546 .S832 1986</t>
        </is>
      </c>
      <c r="C734" t="inlineStr">
        <is>
          <t>0                      HV 6546000S  832         1986</t>
        </is>
      </c>
      <c r="D734" t="inlineStr">
        <is>
          <t>Suicide and depression among adolescents and young adults / edited by Gerald L. Klerman.</t>
        </is>
      </c>
      <c r="F734" t="inlineStr">
        <is>
          <t>No</t>
        </is>
      </c>
      <c r="G734" t="inlineStr">
        <is>
          <t>1</t>
        </is>
      </c>
      <c r="H734" t="inlineStr">
        <is>
          <t>Yes</t>
        </is>
      </c>
      <c r="I734" t="inlineStr">
        <is>
          <t>No</t>
        </is>
      </c>
      <c r="J734" t="inlineStr">
        <is>
          <t>0</t>
        </is>
      </c>
      <c r="L734" t="inlineStr">
        <is>
          <t>Washington, D.C. : American Psychiatric Press, c1986.</t>
        </is>
      </c>
      <c r="M734" t="inlineStr">
        <is>
          <t>1986</t>
        </is>
      </c>
      <c r="O734" t="inlineStr">
        <is>
          <t>eng</t>
        </is>
      </c>
      <c r="P734" t="inlineStr">
        <is>
          <t>dcu</t>
        </is>
      </c>
      <c r="R734" t="inlineStr">
        <is>
          <t xml:space="preserve">HV </t>
        </is>
      </c>
      <c r="S734" t="n">
        <v>40</v>
      </c>
      <c r="T734" t="n">
        <v>40</v>
      </c>
      <c r="U734" t="inlineStr">
        <is>
          <t>2006-11-03</t>
        </is>
      </c>
      <c r="V734" t="inlineStr">
        <is>
          <t>2006-11-03</t>
        </is>
      </c>
      <c r="W734" t="inlineStr">
        <is>
          <t>1990-06-07</t>
        </is>
      </c>
      <c r="X734" t="inlineStr">
        <is>
          <t>1990-06-07</t>
        </is>
      </c>
      <c r="Y734" t="n">
        <v>480</v>
      </c>
      <c r="Z734" t="n">
        <v>409</v>
      </c>
      <c r="AA734" t="n">
        <v>410</v>
      </c>
      <c r="AB734" t="n">
        <v>5</v>
      </c>
      <c r="AC734" t="n">
        <v>5</v>
      </c>
      <c r="AD734" t="n">
        <v>16</v>
      </c>
      <c r="AE734" t="n">
        <v>16</v>
      </c>
      <c r="AF734" t="n">
        <v>4</v>
      </c>
      <c r="AG734" t="n">
        <v>4</v>
      </c>
      <c r="AH734" t="n">
        <v>4</v>
      </c>
      <c r="AI734" t="n">
        <v>4</v>
      </c>
      <c r="AJ734" t="n">
        <v>8</v>
      </c>
      <c r="AK734" t="n">
        <v>8</v>
      </c>
      <c r="AL734" t="n">
        <v>3</v>
      </c>
      <c r="AM734" t="n">
        <v>3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HYPERLINK("https://creighton-primo.hosted.exlibrisgroup.com/primo-explore/search?tab=default_tab&amp;search_scope=EVERYTHING&amp;vid=01CRU&amp;lang=en_US&amp;offset=0&amp;query=any,contains,991000787959702656","Catalog Record")</f>
        <v/>
      </c>
      <c r="AT734">
        <f>HYPERLINK("http://www.worldcat.org/oclc/13126339","WorldCat Record")</f>
        <v/>
      </c>
      <c r="AU734" t="inlineStr">
        <is>
          <t>498292876:eng</t>
        </is>
      </c>
      <c r="AV734" t="inlineStr">
        <is>
          <t>13126339</t>
        </is>
      </c>
      <c r="AW734" t="inlineStr">
        <is>
          <t>991000787959702656</t>
        </is>
      </c>
      <c r="AX734" t="inlineStr">
        <is>
          <t>991000787959702656</t>
        </is>
      </c>
      <c r="AY734" t="inlineStr">
        <is>
          <t>2257805050002656</t>
        </is>
      </c>
      <c r="AZ734" t="inlineStr">
        <is>
          <t>BOOK</t>
        </is>
      </c>
      <c r="BB734" t="inlineStr">
        <is>
          <t>9780880480499</t>
        </is>
      </c>
      <c r="BC734" t="inlineStr">
        <is>
          <t>32285000183607</t>
        </is>
      </c>
      <c r="BD734" t="inlineStr">
        <is>
          <t>893714904</t>
        </is>
      </c>
    </row>
    <row r="735">
      <c r="A735" t="inlineStr">
        <is>
          <t>No</t>
        </is>
      </c>
      <c r="B735" t="inlineStr">
        <is>
          <t>HV6546 .V54 1989</t>
        </is>
      </c>
      <c r="C735" t="inlineStr">
        <is>
          <t>0                      HV 6546000V  54          1989</t>
        </is>
      </c>
      <c r="D735" t="inlineStr">
        <is>
          <t>Student suicide : a guide for intervention / by John A. Vidal.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Vidal, John A.</t>
        </is>
      </c>
      <c r="L735" t="inlineStr">
        <is>
          <t>Washington, D.C. : National Education Association, c1989.</t>
        </is>
      </c>
      <c r="M735" t="inlineStr">
        <is>
          <t>1989</t>
        </is>
      </c>
      <c r="O735" t="inlineStr">
        <is>
          <t>eng</t>
        </is>
      </c>
      <c r="P735" t="inlineStr">
        <is>
          <t>dcu</t>
        </is>
      </c>
      <c r="R735" t="inlineStr">
        <is>
          <t xml:space="preserve">HV </t>
        </is>
      </c>
      <c r="S735" t="n">
        <v>15</v>
      </c>
      <c r="T735" t="n">
        <v>15</v>
      </c>
      <c r="U735" t="inlineStr">
        <is>
          <t>2005-06-07</t>
        </is>
      </c>
      <c r="V735" t="inlineStr">
        <is>
          <t>2005-06-07</t>
        </is>
      </c>
      <c r="W735" t="inlineStr">
        <is>
          <t>1992-02-24</t>
        </is>
      </c>
      <c r="X735" t="inlineStr">
        <is>
          <t>1992-02-24</t>
        </is>
      </c>
      <c r="Y735" t="n">
        <v>370</v>
      </c>
      <c r="Z735" t="n">
        <v>352</v>
      </c>
      <c r="AA735" t="n">
        <v>360</v>
      </c>
      <c r="AB735" t="n">
        <v>6</v>
      </c>
      <c r="AC735" t="n">
        <v>6</v>
      </c>
      <c r="AD735" t="n">
        <v>15</v>
      </c>
      <c r="AE735" t="n">
        <v>15</v>
      </c>
      <c r="AF735" t="n">
        <v>6</v>
      </c>
      <c r="AG735" t="n">
        <v>6</v>
      </c>
      <c r="AH735" t="n">
        <v>1</v>
      </c>
      <c r="AI735" t="n">
        <v>1</v>
      </c>
      <c r="AJ735" t="n">
        <v>7</v>
      </c>
      <c r="AK735" t="n">
        <v>7</v>
      </c>
      <c r="AL735" t="n">
        <v>5</v>
      </c>
      <c r="AM735" t="n">
        <v>5</v>
      </c>
      <c r="AN735" t="n">
        <v>0</v>
      </c>
      <c r="AO735" t="n">
        <v>0</v>
      </c>
      <c r="AP735" t="inlineStr">
        <is>
          <t>No</t>
        </is>
      </c>
      <c r="AQ735" t="inlineStr">
        <is>
          <t>Yes</t>
        </is>
      </c>
      <c r="AR735">
        <f>HYPERLINK("http://catalog.hathitrust.org/Record/001827834","HathiTrust Record")</f>
        <v/>
      </c>
      <c r="AS735">
        <f>HYPERLINK("https://creighton-primo.hosted.exlibrisgroup.com/primo-explore/search?tab=default_tab&amp;search_scope=EVERYTHING&amp;vid=01CRU&amp;lang=en_US&amp;offset=0&amp;query=any,contains,991001529139702656","Catalog Record")</f>
        <v/>
      </c>
      <c r="AT735">
        <f>HYPERLINK("http://www.worldcat.org/oclc/20015050","WorldCat Record")</f>
        <v/>
      </c>
      <c r="AU735" t="inlineStr">
        <is>
          <t>427146967:eng</t>
        </is>
      </c>
      <c r="AV735" t="inlineStr">
        <is>
          <t>20015050</t>
        </is>
      </c>
      <c r="AW735" t="inlineStr">
        <is>
          <t>991001529139702656</t>
        </is>
      </c>
      <c r="AX735" t="inlineStr">
        <is>
          <t>991001529139702656</t>
        </is>
      </c>
      <c r="AY735" t="inlineStr">
        <is>
          <t>2264259380002656</t>
        </is>
      </c>
      <c r="AZ735" t="inlineStr">
        <is>
          <t>BOOK</t>
        </is>
      </c>
      <c r="BB735" t="inlineStr">
        <is>
          <t>9780810602441</t>
        </is>
      </c>
      <c r="BC735" t="inlineStr">
        <is>
          <t>32285000974864</t>
        </is>
      </c>
      <c r="BD735" t="inlineStr">
        <is>
          <t>893256297</t>
        </is>
      </c>
    </row>
    <row r="736">
      <c r="A736" t="inlineStr">
        <is>
          <t>No</t>
        </is>
      </c>
      <c r="B736" t="inlineStr">
        <is>
          <t>HV6546 .Y68 1985</t>
        </is>
      </c>
      <c r="C736" t="inlineStr">
        <is>
          <t>0                      HV 6546000Y  68          1985</t>
        </is>
      </c>
      <c r="D736" t="inlineStr">
        <is>
          <t>Youth suicide / Michael L. Peck, Norman L. Farberow, Robert E. Litman, editors ; foreword by Herbert Pardes.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L736" t="inlineStr">
        <is>
          <t>New York : Springer, c1985.</t>
        </is>
      </c>
      <c r="M736" t="inlineStr">
        <is>
          <t>1985</t>
        </is>
      </c>
      <c r="O736" t="inlineStr">
        <is>
          <t>eng</t>
        </is>
      </c>
      <c r="P736" t="inlineStr">
        <is>
          <t>nyu</t>
        </is>
      </c>
      <c r="Q736" t="inlineStr">
        <is>
          <t>The Springer series on death and suicide ; v. 6</t>
        </is>
      </c>
      <c r="R736" t="inlineStr">
        <is>
          <t xml:space="preserve">HV </t>
        </is>
      </c>
      <c r="S736" t="n">
        <v>21</v>
      </c>
      <c r="T736" t="n">
        <v>21</v>
      </c>
      <c r="U736" t="inlineStr">
        <is>
          <t>2005-03-15</t>
        </is>
      </c>
      <c r="V736" t="inlineStr">
        <is>
          <t>2005-03-15</t>
        </is>
      </c>
      <c r="W736" t="inlineStr">
        <is>
          <t>1990-06-07</t>
        </is>
      </c>
      <c r="X736" t="inlineStr">
        <is>
          <t>1990-06-07</t>
        </is>
      </c>
      <c r="Y736" t="n">
        <v>883</v>
      </c>
      <c r="Z736" t="n">
        <v>784</v>
      </c>
      <c r="AA736" t="n">
        <v>791</v>
      </c>
      <c r="AB736" t="n">
        <v>6</v>
      </c>
      <c r="AC736" t="n">
        <v>6</v>
      </c>
      <c r="AD736" t="n">
        <v>28</v>
      </c>
      <c r="AE736" t="n">
        <v>28</v>
      </c>
      <c r="AF736" t="n">
        <v>8</v>
      </c>
      <c r="AG736" t="n">
        <v>8</v>
      </c>
      <c r="AH736" t="n">
        <v>5</v>
      </c>
      <c r="AI736" t="n">
        <v>5</v>
      </c>
      <c r="AJ736" t="n">
        <v>15</v>
      </c>
      <c r="AK736" t="n">
        <v>15</v>
      </c>
      <c r="AL736" t="n">
        <v>5</v>
      </c>
      <c r="AM736" t="n">
        <v>5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HYPERLINK("http://catalog.hathitrust.org/Record/000350566","HathiTrust Record")</f>
        <v/>
      </c>
      <c r="AS736">
        <f>HYPERLINK("https://creighton-primo.hosted.exlibrisgroup.com/primo-explore/search?tab=default_tab&amp;search_scope=EVERYTHING&amp;vid=01CRU&amp;lang=en_US&amp;offset=0&amp;query=any,contains,991000568509702656","Catalog Record")</f>
        <v/>
      </c>
      <c r="AT736">
        <f>HYPERLINK("http://www.worldcat.org/oclc/11624087","WorldCat Record")</f>
        <v/>
      </c>
      <c r="AU736" t="inlineStr">
        <is>
          <t>355349805:eng</t>
        </is>
      </c>
      <c r="AV736" t="inlineStr">
        <is>
          <t>11624087</t>
        </is>
      </c>
      <c r="AW736" t="inlineStr">
        <is>
          <t>991000568509702656</t>
        </is>
      </c>
      <c r="AX736" t="inlineStr">
        <is>
          <t>991000568509702656</t>
        </is>
      </c>
      <c r="AY736" t="inlineStr">
        <is>
          <t>2264181680002656</t>
        </is>
      </c>
      <c r="AZ736" t="inlineStr">
        <is>
          <t>BOOK</t>
        </is>
      </c>
      <c r="BB736" t="inlineStr">
        <is>
          <t>9780826144805</t>
        </is>
      </c>
      <c r="BC736" t="inlineStr">
        <is>
          <t>32285000183615</t>
        </is>
      </c>
      <c r="BD736" t="inlineStr">
        <is>
          <t>893333590</t>
        </is>
      </c>
    </row>
    <row r="737">
      <c r="A737" t="inlineStr">
        <is>
          <t>No</t>
        </is>
      </c>
      <c r="B737" t="inlineStr">
        <is>
          <t>HV6548.U5 H44 1995</t>
        </is>
      </c>
      <c r="C737" t="inlineStr">
        <is>
          <t>0                      HV 6548000U  5                  H  44          1995</t>
        </is>
      </c>
      <c r="D737" t="inlineStr">
        <is>
          <t>Suicide in America / Herbert Hendin.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Hendin, Herbert.</t>
        </is>
      </c>
      <c r="L737" t="inlineStr">
        <is>
          <t>New York : W.W. Norton, [1995]</t>
        </is>
      </c>
      <c r="M737" t="inlineStr">
        <is>
          <t>1995</t>
        </is>
      </c>
      <c r="N737" t="inlineStr">
        <is>
          <t>New and expanded ed.</t>
        </is>
      </c>
      <c r="O737" t="inlineStr">
        <is>
          <t>eng</t>
        </is>
      </c>
      <c r="P737" t="inlineStr">
        <is>
          <t>nyu</t>
        </is>
      </c>
      <c r="R737" t="inlineStr">
        <is>
          <t xml:space="preserve">HV </t>
        </is>
      </c>
      <c r="S737" t="n">
        <v>25</v>
      </c>
      <c r="T737" t="n">
        <v>25</v>
      </c>
      <c r="U737" t="inlineStr">
        <is>
          <t>2004-10-29</t>
        </is>
      </c>
      <c r="V737" t="inlineStr">
        <is>
          <t>2004-10-29</t>
        </is>
      </c>
      <c r="W737" t="inlineStr">
        <is>
          <t>1995-05-10</t>
        </is>
      </c>
      <c r="X737" t="inlineStr">
        <is>
          <t>1995-05-10</t>
        </is>
      </c>
      <c r="Y737" t="n">
        <v>669</v>
      </c>
      <c r="Z737" t="n">
        <v>620</v>
      </c>
      <c r="AA737" t="n">
        <v>1376</v>
      </c>
      <c r="AB737" t="n">
        <v>7</v>
      </c>
      <c r="AC737" t="n">
        <v>11</v>
      </c>
      <c r="AD737" t="n">
        <v>26</v>
      </c>
      <c r="AE737" t="n">
        <v>37</v>
      </c>
      <c r="AF737" t="n">
        <v>7</v>
      </c>
      <c r="AG737" t="n">
        <v>14</v>
      </c>
      <c r="AH737" t="n">
        <v>7</v>
      </c>
      <c r="AI737" t="n">
        <v>7</v>
      </c>
      <c r="AJ737" t="n">
        <v>14</v>
      </c>
      <c r="AK737" t="n">
        <v>17</v>
      </c>
      <c r="AL737" t="n">
        <v>4</v>
      </c>
      <c r="AM737" t="n">
        <v>6</v>
      </c>
      <c r="AN737" t="n">
        <v>1</v>
      </c>
      <c r="AO737" t="n">
        <v>1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HYPERLINK("https://creighton-primo.hosted.exlibrisgroup.com/primo-explore/search?tab=default_tab&amp;search_scope=EVERYTHING&amp;vid=01CRU&amp;lang=en_US&amp;offset=0&amp;query=any,contains,991002349259702656","Catalog Record")</f>
        <v/>
      </c>
      <c r="AT737">
        <f>HYPERLINK("http://www.worldcat.org/oclc/30594101","WorldCat Record")</f>
        <v/>
      </c>
      <c r="AU737" t="inlineStr">
        <is>
          <t>900162:eng</t>
        </is>
      </c>
      <c r="AV737" t="inlineStr">
        <is>
          <t>30594101</t>
        </is>
      </c>
      <c r="AW737" t="inlineStr">
        <is>
          <t>991002349259702656</t>
        </is>
      </c>
      <c r="AX737" t="inlineStr">
        <is>
          <t>991002349259702656</t>
        </is>
      </c>
      <c r="AY737" t="inlineStr">
        <is>
          <t>2263822650002656</t>
        </is>
      </c>
      <c r="AZ737" t="inlineStr">
        <is>
          <t>BOOK</t>
        </is>
      </c>
      <c r="BC737" t="inlineStr">
        <is>
          <t>32285002039245</t>
        </is>
      </c>
      <c r="BD737" t="inlineStr">
        <is>
          <t>893886149</t>
        </is>
      </c>
    </row>
    <row r="738">
      <c r="A738" t="inlineStr">
        <is>
          <t>No</t>
        </is>
      </c>
      <c r="B738" t="inlineStr">
        <is>
          <t>HV6548.U5 L54 1991</t>
        </is>
      </c>
      <c r="C738" t="inlineStr">
        <is>
          <t>0                      HV 6548000U  5                  L  54          1991</t>
        </is>
      </c>
      <c r="D738" t="inlineStr">
        <is>
          <t>Life span perspectives of suicide : time-lines in the suicide process / edited by Antoon A. Leenaars.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New York : Plenum Press, c1991.</t>
        </is>
      </c>
      <c r="M738" t="inlineStr">
        <is>
          <t>1991</t>
        </is>
      </c>
      <c r="O738" t="inlineStr">
        <is>
          <t>eng</t>
        </is>
      </c>
      <c r="P738" t="inlineStr">
        <is>
          <t>nyu</t>
        </is>
      </c>
      <c r="R738" t="inlineStr">
        <is>
          <t xml:space="preserve">HV </t>
        </is>
      </c>
      <c r="S738" t="n">
        <v>20</v>
      </c>
      <c r="T738" t="n">
        <v>20</v>
      </c>
      <c r="U738" t="inlineStr">
        <is>
          <t>2006-11-15</t>
        </is>
      </c>
      <c r="V738" t="inlineStr">
        <is>
          <t>2006-11-15</t>
        </is>
      </c>
      <c r="W738" t="inlineStr">
        <is>
          <t>1992-02-27</t>
        </is>
      </c>
      <c r="X738" t="inlineStr">
        <is>
          <t>1992-02-27</t>
        </is>
      </c>
      <c r="Y738" t="n">
        <v>300</v>
      </c>
      <c r="Z738" t="n">
        <v>222</v>
      </c>
      <c r="AA738" t="n">
        <v>247</v>
      </c>
      <c r="AB738" t="n">
        <v>3</v>
      </c>
      <c r="AC738" t="n">
        <v>3</v>
      </c>
      <c r="AD738" t="n">
        <v>19</v>
      </c>
      <c r="AE738" t="n">
        <v>19</v>
      </c>
      <c r="AF738" t="n">
        <v>7</v>
      </c>
      <c r="AG738" t="n">
        <v>7</v>
      </c>
      <c r="AH738" t="n">
        <v>4</v>
      </c>
      <c r="AI738" t="n">
        <v>4</v>
      </c>
      <c r="AJ738" t="n">
        <v>12</v>
      </c>
      <c r="AK738" t="n">
        <v>12</v>
      </c>
      <c r="AL738" t="n">
        <v>2</v>
      </c>
      <c r="AM738" t="n">
        <v>2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HYPERLINK("https://creighton-primo.hosted.exlibrisgroup.com/primo-explore/search?tab=default_tab&amp;search_scope=EVERYTHING&amp;vid=01CRU&amp;lang=en_US&amp;offset=0&amp;query=any,contains,991001786989702656","Catalog Record")</f>
        <v/>
      </c>
      <c r="AT738">
        <f>HYPERLINK("http://www.worldcat.org/oclc/22508288","WorldCat Record")</f>
        <v/>
      </c>
      <c r="AU738" t="inlineStr">
        <is>
          <t>836735391:eng</t>
        </is>
      </c>
      <c r="AV738" t="inlineStr">
        <is>
          <t>22508288</t>
        </is>
      </c>
      <c r="AW738" t="inlineStr">
        <is>
          <t>991001786989702656</t>
        </is>
      </c>
      <c r="AX738" t="inlineStr">
        <is>
          <t>991001786989702656</t>
        </is>
      </c>
      <c r="AY738" t="inlineStr">
        <is>
          <t>2272004970002656</t>
        </is>
      </c>
      <c r="AZ738" t="inlineStr">
        <is>
          <t>BOOK</t>
        </is>
      </c>
      <c r="BB738" t="inlineStr">
        <is>
          <t>9780306436208</t>
        </is>
      </c>
      <c r="BC738" t="inlineStr">
        <is>
          <t>32285000937168</t>
        </is>
      </c>
      <c r="BD738" t="inlineStr">
        <is>
          <t>893709542</t>
        </is>
      </c>
    </row>
    <row r="739">
      <c r="A739" t="inlineStr">
        <is>
          <t>No</t>
        </is>
      </c>
      <c r="B739" t="inlineStr">
        <is>
          <t>HV6548.U5 S76 1999</t>
        </is>
      </c>
      <c r="C739" t="inlineStr">
        <is>
          <t>0                      HV 6548000U  5                  S  76          1999</t>
        </is>
      </c>
      <c r="D739" t="inlineStr">
        <is>
          <t>Suicide and attempted suicide : methods and consequences / Geo Stone.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Stone, Geo.</t>
        </is>
      </c>
      <c r="L739" t="inlineStr">
        <is>
          <t>New York : Carroll &amp; Graf, 1999.</t>
        </is>
      </c>
      <c r="M739" t="inlineStr">
        <is>
          <t>1999</t>
        </is>
      </c>
      <c r="N739" t="inlineStr">
        <is>
          <t>1st Carroll &amp; Graf ed.</t>
        </is>
      </c>
      <c r="O739" t="inlineStr">
        <is>
          <t>eng</t>
        </is>
      </c>
      <c r="P739" t="inlineStr">
        <is>
          <t>nyu</t>
        </is>
      </c>
      <c r="R739" t="inlineStr">
        <is>
          <t xml:space="preserve">HV </t>
        </is>
      </c>
      <c r="S739" t="n">
        <v>6</v>
      </c>
      <c r="T739" t="n">
        <v>6</v>
      </c>
      <c r="U739" t="inlineStr">
        <is>
          <t>2008-04-09</t>
        </is>
      </c>
      <c r="V739" t="inlineStr">
        <is>
          <t>2008-04-09</t>
        </is>
      </c>
      <c r="W739" t="inlineStr">
        <is>
          <t>1999-04-13</t>
        </is>
      </c>
      <c r="X739" t="inlineStr">
        <is>
          <t>1999-04-13</t>
        </is>
      </c>
      <c r="Y739" t="n">
        <v>209</v>
      </c>
      <c r="Z739" t="n">
        <v>196</v>
      </c>
      <c r="AA739" t="n">
        <v>250</v>
      </c>
      <c r="AB739" t="n">
        <v>4</v>
      </c>
      <c r="AC739" t="n">
        <v>4</v>
      </c>
      <c r="AD739" t="n">
        <v>5</v>
      </c>
      <c r="AE739" t="n">
        <v>6</v>
      </c>
      <c r="AF739" t="n">
        <v>2</v>
      </c>
      <c r="AG739" t="n">
        <v>2</v>
      </c>
      <c r="AH739" t="n">
        <v>0</v>
      </c>
      <c r="AI739" t="n">
        <v>0</v>
      </c>
      <c r="AJ739" t="n">
        <v>2</v>
      </c>
      <c r="AK739" t="n">
        <v>3</v>
      </c>
      <c r="AL739" t="n">
        <v>1</v>
      </c>
      <c r="AM739" t="n">
        <v>1</v>
      </c>
      <c r="AN739" t="n">
        <v>1</v>
      </c>
      <c r="AO739" t="n">
        <v>1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HYPERLINK("https://creighton-primo.hosted.exlibrisgroup.com/primo-explore/search?tab=default_tab&amp;search_scope=EVERYTHING&amp;vid=01CRU&amp;lang=en_US&amp;offset=0&amp;query=any,contains,991002829949702656","Catalog Record")</f>
        <v/>
      </c>
      <c r="AT739">
        <f>HYPERLINK("http://www.worldcat.org/oclc/37260884","WorldCat Record")</f>
        <v/>
      </c>
      <c r="AU739" t="inlineStr">
        <is>
          <t>601995:eng</t>
        </is>
      </c>
      <c r="AV739" t="inlineStr">
        <is>
          <t>37260884</t>
        </is>
      </c>
      <c r="AW739" t="inlineStr">
        <is>
          <t>991002829949702656</t>
        </is>
      </c>
      <c r="AX739" t="inlineStr">
        <is>
          <t>991002829949702656</t>
        </is>
      </c>
      <c r="AY739" t="inlineStr">
        <is>
          <t>2271455480002656</t>
        </is>
      </c>
      <c r="AZ739" t="inlineStr">
        <is>
          <t>BOOK</t>
        </is>
      </c>
      <c r="BB739" t="inlineStr">
        <is>
          <t>9780786704927</t>
        </is>
      </c>
      <c r="BC739" t="inlineStr">
        <is>
          <t>32285003552139</t>
        </is>
      </c>
      <c r="BD739" t="inlineStr">
        <is>
          <t>893498594</t>
        </is>
      </c>
    </row>
    <row r="740">
      <c r="A740" t="inlineStr">
        <is>
          <t>No</t>
        </is>
      </c>
      <c r="B740" t="inlineStr">
        <is>
          <t>HV6553 .E48 2008</t>
        </is>
      </c>
      <c r="C740" t="inlineStr">
        <is>
          <t>0                      HV 6553000E  48          2008</t>
        </is>
      </c>
      <c r="D740" t="inlineStr">
        <is>
          <t>Molecules of murder : criminal molecules and classic cases / John Emsley.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Emsley, John.</t>
        </is>
      </c>
      <c r="L740" t="inlineStr">
        <is>
          <t>Cambridge, UK : Royal Society of Chemistry, c2008.</t>
        </is>
      </c>
      <c r="M740" t="inlineStr">
        <is>
          <t>2008</t>
        </is>
      </c>
      <c r="O740" t="inlineStr">
        <is>
          <t>eng</t>
        </is>
      </c>
      <c r="P740" t="inlineStr">
        <is>
          <t>enk</t>
        </is>
      </c>
      <c r="R740" t="inlineStr">
        <is>
          <t xml:space="preserve">HV </t>
        </is>
      </c>
      <c r="S740" t="n">
        <v>1</v>
      </c>
      <c r="T740" t="n">
        <v>1</v>
      </c>
      <c r="U740" t="inlineStr">
        <is>
          <t>2010-03-01</t>
        </is>
      </c>
      <c r="V740" t="inlineStr">
        <is>
          <t>2010-03-01</t>
        </is>
      </c>
      <c r="W740" t="inlineStr">
        <is>
          <t>2010-03-01</t>
        </is>
      </c>
      <c r="X740" t="inlineStr">
        <is>
          <t>2010-03-01</t>
        </is>
      </c>
      <c r="Y740" t="n">
        <v>542</v>
      </c>
      <c r="Z740" t="n">
        <v>434</v>
      </c>
      <c r="AA740" t="n">
        <v>476</v>
      </c>
      <c r="AB740" t="n">
        <v>5</v>
      </c>
      <c r="AC740" t="n">
        <v>5</v>
      </c>
      <c r="AD740" t="n">
        <v>23</v>
      </c>
      <c r="AE740" t="n">
        <v>24</v>
      </c>
      <c r="AF740" t="n">
        <v>9</v>
      </c>
      <c r="AG740" t="n">
        <v>9</v>
      </c>
      <c r="AH740" t="n">
        <v>3</v>
      </c>
      <c r="AI740" t="n">
        <v>4</v>
      </c>
      <c r="AJ740" t="n">
        <v>11</v>
      </c>
      <c r="AK740" t="n">
        <v>12</v>
      </c>
      <c r="AL740" t="n">
        <v>4</v>
      </c>
      <c r="AM740" t="n">
        <v>4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HYPERLINK("https://creighton-primo.hosted.exlibrisgroup.com/primo-explore/search?tab=default_tab&amp;search_scope=EVERYTHING&amp;vid=01CRU&amp;lang=en_US&amp;offset=0&amp;query=any,contains,991005363329702656","Catalog Record")</f>
        <v/>
      </c>
      <c r="AT740">
        <f>HYPERLINK("http://www.worldcat.org/oclc/295033355","WorldCat Record")</f>
        <v/>
      </c>
      <c r="AU740" t="inlineStr">
        <is>
          <t>866263663:eng</t>
        </is>
      </c>
      <c r="AV740" t="inlineStr">
        <is>
          <t>295033355</t>
        </is>
      </c>
      <c r="AW740" t="inlineStr">
        <is>
          <t>991005363329702656</t>
        </is>
      </c>
      <c r="AX740" t="inlineStr">
        <is>
          <t>991005363329702656</t>
        </is>
      </c>
      <c r="AY740" t="inlineStr">
        <is>
          <t>2271790540002656</t>
        </is>
      </c>
      <c r="AZ740" t="inlineStr">
        <is>
          <t>BOOK</t>
        </is>
      </c>
      <c r="BB740" t="inlineStr">
        <is>
          <t>9780854049653</t>
        </is>
      </c>
      <c r="BC740" t="inlineStr">
        <is>
          <t>32285005575815</t>
        </is>
      </c>
      <c r="BD740" t="inlineStr">
        <is>
          <t>893890107</t>
        </is>
      </c>
    </row>
    <row r="741">
      <c r="A741" t="inlineStr">
        <is>
          <t>No</t>
        </is>
      </c>
      <c r="B741" t="inlineStr">
        <is>
          <t>HV6558 .B87</t>
        </is>
      </c>
      <c r="C741" t="inlineStr">
        <is>
          <t>0                      HV 6558000B  87</t>
        </is>
      </c>
      <c r="D741" t="inlineStr">
        <is>
          <t>Rape : victims of crisis / Ann Wolbert Burgess, Lynda Lytle Holmstrom.</t>
        </is>
      </c>
      <c r="F741" t="inlineStr">
        <is>
          <t>No</t>
        </is>
      </c>
      <c r="G741" t="inlineStr">
        <is>
          <t>1</t>
        </is>
      </c>
      <c r="H741" t="inlineStr">
        <is>
          <t>Yes</t>
        </is>
      </c>
      <c r="I741" t="inlineStr">
        <is>
          <t>No</t>
        </is>
      </c>
      <c r="J741" t="inlineStr">
        <is>
          <t>0</t>
        </is>
      </c>
      <c r="K741" t="inlineStr">
        <is>
          <t>Burgess, Ann Wolbert.</t>
        </is>
      </c>
      <c r="L741" t="inlineStr">
        <is>
          <t>Bowie, Md. : R. J. Brady Co., [1974]</t>
        </is>
      </c>
      <c r="M741" t="inlineStr">
        <is>
          <t>1974</t>
        </is>
      </c>
      <c r="O741" t="inlineStr">
        <is>
          <t>eng</t>
        </is>
      </c>
      <c r="P741" t="inlineStr">
        <is>
          <t>mdu</t>
        </is>
      </c>
      <c r="R741" t="inlineStr">
        <is>
          <t xml:space="preserve">HV </t>
        </is>
      </c>
      <c r="S741" t="n">
        <v>15</v>
      </c>
      <c r="T741" t="n">
        <v>29</v>
      </c>
      <c r="U741" t="inlineStr">
        <is>
          <t>1998-07-05</t>
        </is>
      </c>
      <c r="V741" t="inlineStr">
        <is>
          <t>1999-03-07</t>
        </is>
      </c>
      <c r="W741" t="inlineStr">
        <is>
          <t>1991-12-05</t>
        </is>
      </c>
      <c r="X741" t="inlineStr">
        <is>
          <t>1991-12-05</t>
        </is>
      </c>
      <c r="Y741" t="n">
        <v>519</v>
      </c>
      <c r="Z741" t="n">
        <v>462</v>
      </c>
      <c r="AA741" t="n">
        <v>478</v>
      </c>
      <c r="AB741" t="n">
        <v>5</v>
      </c>
      <c r="AC741" t="n">
        <v>5</v>
      </c>
      <c r="AD741" t="n">
        <v>25</v>
      </c>
      <c r="AE741" t="n">
        <v>27</v>
      </c>
      <c r="AF741" t="n">
        <v>7</v>
      </c>
      <c r="AG741" t="n">
        <v>8</v>
      </c>
      <c r="AH741" t="n">
        <v>5</v>
      </c>
      <c r="AI741" t="n">
        <v>6</v>
      </c>
      <c r="AJ741" t="n">
        <v>13</v>
      </c>
      <c r="AK741" t="n">
        <v>13</v>
      </c>
      <c r="AL741" t="n">
        <v>3</v>
      </c>
      <c r="AM741" t="n">
        <v>3</v>
      </c>
      <c r="AN741" t="n">
        <v>2</v>
      </c>
      <c r="AO741" t="n">
        <v>2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HYPERLINK("http://catalog.hathitrust.org/Record/000035590","HathiTrust Record")</f>
        <v/>
      </c>
      <c r="AS741">
        <f>HYPERLINK("https://creighton-primo.hosted.exlibrisgroup.com/primo-explore/search?tab=default_tab&amp;search_scope=EVERYTHING&amp;vid=01CRU&amp;lang=en_US&amp;offset=0&amp;query=any,contains,991001806319702656","Catalog Record")</f>
        <v/>
      </c>
      <c r="AT741">
        <f>HYPERLINK("http://www.worldcat.org/oclc/1129972","WorldCat Record")</f>
        <v/>
      </c>
      <c r="AU741" t="inlineStr">
        <is>
          <t>294125454:eng</t>
        </is>
      </c>
      <c r="AV741" t="inlineStr">
        <is>
          <t>1129972</t>
        </is>
      </c>
      <c r="AW741" t="inlineStr">
        <is>
          <t>991001806319702656</t>
        </is>
      </c>
      <c r="AX741" t="inlineStr">
        <is>
          <t>991001806319702656</t>
        </is>
      </c>
      <c r="AY741" t="inlineStr">
        <is>
          <t>2272426050002656</t>
        </is>
      </c>
      <c r="AZ741" t="inlineStr">
        <is>
          <t>BOOK</t>
        </is>
      </c>
      <c r="BB741" t="inlineStr">
        <is>
          <t>9780876180297</t>
        </is>
      </c>
      <c r="BC741" t="inlineStr">
        <is>
          <t>32285000847508</t>
        </is>
      </c>
      <c r="BD741" t="inlineStr">
        <is>
          <t>893426887</t>
        </is>
      </c>
    </row>
    <row r="742">
      <c r="A742" t="inlineStr">
        <is>
          <t>No</t>
        </is>
      </c>
      <c r="B742" t="inlineStr">
        <is>
          <t>HV6558 .G55 1994</t>
        </is>
      </c>
      <c r="C742" t="inlineStr">
        <is>
          <t>0                      HV 6558000G  55          1994</t>
        </is>
      </c>
      <c r="D742" t="inlineStr">
        <is>
          <t>Rape, incest, and child sexual abuse : consequences and recovery / Pat Gilmartin.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Gilmartin, Pat, 1950-</t>
        </is>
      </c>
      <c r="L742" t="inlineStr">
        <is>
          <t>New York : Garland Publishing, 1994.</t>
        </is>
      </c>
      <c r="M742" t="inlineStr">
        <is>
          <t>1994</t>
        </is>
      </c>
      <c r="O742" t="inlineStr">
        <is>
          <t>eng</t>
        </is>
      </c>
      <c r="P742" t="inlineStr">
        <is>
          <t>nyu</t>
        </is>
      </c>
      <c r="Q742" t="inlineStr">
        <is>
          <t>Garland library of sociology ; v. 27</t>
        </is>
      </c>
      <c r="R742" t="inlineStr">
        <is>
          <t xml:space="preserve">HV </t>
        </is>
      </c>
      <c r="S742" t="n">
        <v>20</v>
      </c>
      <c r="T742" t="n">
        <v>20</v>
      </c>
      <c r="U742" t="inlineStr">
        <is>
          <t>2008-11-11</t>
        </is>
      </c>
      <c r="V742" t="inlineStr">
        <is>
          <t>2008-11-11</t>
        </is>
      </c>
      <c r="W742" t="inlineStr">
        <is>
          <t>1995-01-06</t>
        </is>
      </c>
      <c r="X742" t="inlineStr">
        <is>
          <t>1995-01-06</t>
        </is>
      </c>
      <c r="Y742" t="n">
        <v>624</v>
      </c>
      <c r="Z742" t="n">
        <v>552</v>
      </c>
      <c r="AA742" t="n">
        <v>553</v>
      </c>
      <c r="AB742" t="n">
        <v>7</v>
      </c>
      <c r="AC742" t="n">
        <v>7</v>
      </c>
      <c r="AD742" t="n">
        <v>27</v>
      </c>
      <c r="AE742" t="n">
        <v>27</v>
      </c>
      <c r="AF742" t="n">
        <v>6</v>
      </c>
      <c r="AG742" t="n">
        <v>6</v>
      </c>
      <c r="AH742" t="n">
        <v>7</v>
      </c>
      <c r="AI742" t="n">
        <v>7</v>
      </c>
      <c r="AJ742" t="n">
        <v>11</v>
      </c>
      <c r="AK742" t="n">
        <v>11</v>
      </c>
      <c r="AL742" t="n">
        <v>6</v>
      </c>
      <c r="AM742" t="n">
        <v>6</v>
      </c>
      <c r="AN742" t="n">
        <v>2</v>
      </c>
      <c r="AO742" t="n">
        <v>2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HYPERLINK("https://creighton-primo.hosted.exlibrisgroup.com/primo-explore/search?tab=default_tab&amp;search_scope=EVERYTHING&amp;vid=01CRU&amp;lang=en_US&amp;offset=0&amp;query=any,contains,991002247029702656","Catalog Record")</f>
        <v/>
      </c>
      <c r="AT742">
        <f>HYPERLINK("http://www.worldcat.org/oclc/28966639","WorldCat Record")</f>
        <v/>
      </c>
      <c r="AU742" t="inlineStr">
        <is>
          <t>836919864:eng</t>
        </is>
      </c>
      <c r="AV742" t="inlineStr">
        <is>
          <t>28966639</t>
        </is>
      </c>
      <c r="AW742" t="inlineStr">
        <is>
          <t>991002247029702656</t>
        </is>
      </c>
      <c r="AX742" t="inlineStr">
        <is>
          <t>991002247029702656</t>
        </is>
      </c>
      <c r="AY742" t="inlineStr">
        <is>
          <t>2257263660002656</t>
        </is>
      </c>
      <c r="AZ742" t="inlineStr">
        <is>
          <t>BOOK</t>
        </is>
      </c>
      <c r="BB742" t="inlineStr">
        <is>
          <t>9780815313267</t>
        </is>
      </c>
      <c r="BC742" t="inlineStr">
        <is>
          <t>32285001991065</t>
        </is>
      </c>
      <c r="BD742" t="inlineStr">
        <is>
          <t>893886020</t>
        </is>
      </c>
    </row>
    <row r="743">
      <c r="A743" t="inlineStr">
        <is>
          <t>No</t>
        </is>
      </c>
      <c r="B743" t="inlineStr">
        <is>
          <t>HV6558 .G76</t>
        </is>
      </c>
      <c r="C743" t="inlineStr">
        <is>
          <t>0                      HV 6558000G  76</t>
        </is>
      </c>
      <c r="D743" t="inlineStr">
        <is>
          <t>Men who rape : the psychology of the offender / A. Nicholas Groth, with H. Jean Birnbaum.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Groth, A. Nicholas.</t>
        </is>
      </c>
      <c r="L743" t="inlineStr">
        <is>
          <t>New York : Plenum Press, c1979.</t>
        </is>
      </c>
      <c r="M743" t="inlineStr">
        <is>
          <t>1979</t>
        </is>
      </c>
      <c r="O743" t="inlineStr">
        <is>
          <t>eng</t>
        </is>
      </c>
      <c r="P743" t="inlineStr">
        <is>
          <t>nyu</t>
        </is>
      </c>
      <c r="R743" t="inlineStr">
        <is>
          <t xml:space="preserve">HV </t>
        </is>
      </c>
      <c r="S743" t="n">
        <v>31</v>
      </c>
      <c r="T743" t="n">
        <v>31</v>
      </c>
      <c r="U743" t="inlineStr">
        <is>
          <t>2010-01-19</t>
        </is>
      </c>
      <c r="V743" t="inlineStr">
        <is>
          <t>2010-01-19</t>
        </is>
      </c>
      <c r="W743" t="inlineStr">
        <is>
          <t>1991-12-13</t>
        </is>
      </c>
      <c r="X743" t="inlineStr">
        <is>
          <t>1991-12-13</t>
        </is>
      </c>
      <c r="Y743" t="n">
        <v>1064</v>
      </c>
      <c r="Z743" t="n">
        <v>903</v>
      </c>
      <c r="AA743" t="n">
        <v>973</v>
      </c>
      <c r="AB743" t="n">
        <v>6</v>
      </c>
      <c r="AC743" t="n">
        <v>6</v>
      </c>
      <c r="AD743" t="n">
        <v>38</v>
      </c>
      <c r="AE743" t="n">
        <v>40</v>
      </c>
      <c r="AF743" t="n">
        <v>12</v>
      </c>
      <c r="AG743" t="n">
        <v>14</v>
      </c>
      <c r="AH743" t="n">
        <v>4</v>
      </c>
      <c r="AI743" t="n">
        <v>4</v>
      </c>
      <c r="AJ743" t="n">
        <v>14</v>
      </c>
      <c r="AK743" t="n">
        <v>15</v>
      </c>
      <c r="AL743" t="n">
        <v>5</v>
      </c>
      <c r="AM743" t="n">
        <v>5</v>
      </c>
      <c r="AN743" t="n">
        <v>8</v>
      </c>
      <c r="AO743" t="n">
        <v>8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HYPERLINK("http://catalog.hathitrust.org/Record/000039231","HathiTrust Record")</f>
        <v/>
      </c>
      <c r="AS743">
        <f>HYPERLINK("https://creighton-primo.hosted.exlibrisgroup.com/primo-explore/search?tab=default_tab&amp;search_scope=EVERYTHING&amp;vid=01CRU&amp;lang=en_US&amp;offset=0&amp;query=any,contains,991004798249702656","Catalog Record")</f>
        <v/>
      </c>
      <c r="AT743">
        <f>HYPERLINK("http://www.worldcat.org/oclc/5196750","WorldCat Record")</f>
        <v/>
      </c>
      <c r="AU743" t="inlineStr">
        <is>
          <t>437254:eng</t>
        </is>
      </c>
      <c r="AV743" t="inlineStr">
        <is>
          <t>5196750</t>
        </is>
      </c>
      <c r="AW743" t="inlineStr">
        <is>
          <t>991004798249702656</t>
        </is>
      </c>
      <c r="AX743" t="inlineStr">
        <is>
          <t>991004798249702656</t>
        </is>
      </c>
      <c r="AY743" t="inlineStr">
        <is>
          <t>2258607360002656</t>
        </is>
      </c>
      <c r="AZ743" t="inlineStr">
        <is>
          <t>BOOK</t>
        </is>
      </c>
      <c r="BB743" t="inlineStr">
        <is>
          <t>9780306402685</t>
        </is>
      </c>
      <c r="BC743" t="inlineStr">
        <is>
          <t>32285000895689</t>
        </is>
      </c>
      <c r="BD743" t="inlineStr">
        <is>
          <t>893430505</t>
        </is>
      </c>
    </row>
    <row r="744">
      <c r="A744" t="inlineStr">
        <is>
          <t>No</t>
        </is>
      </c>
      <c r="B744" t="inlineStr">
        <is>
          <t>HV6558 .H47</t>
        </is>
      </c>
      <c r="C744" t="inlineStr">
        <is>
          <t>0                      HV 6558000H  47</t>
        </is>
      </c>
      <c r="D744" t="inlineStr">
        <is>
          <t>The rape victim : a project of the Committee on Women of the American Psychiatric Association ... / by Elaine Hilberman.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Carmen, Elaine Hilberman, 1939-</t>
        </is>
      </c>
      <c r="L744" t="inlineStr">
        <is>
          <t>New York : Basic Books, c1976.</t>
        </is>
      </c>
      <c r="M744" t="inlineStr">
        <is>
          <t>1976</t>
        </is>
      </c>
      <c r="O744" t="inlineStr">
        <is>
          <t>eng</t>
        </is>
      </c>
      <c r="P744" t="inlineStr">
        <is>
          <t>nyu</t>
        </is>
      </c>
      <c r="R744" t="inlineStr">
        <is>
          <t xml:space="preserve">HV </t>
        </is>
      </c>
      <c r="S744" t="n">
        <v>30</v>
      </c>
      <c r="T744" t="n">
        <v>30</v>
      </c>
      <c r="U744" t="inlineStr">
        <is>
          <t>2001-03-14</t>
        </is>
      </c>
      <c r="V744" t="inlineStr">
        <is>
          <t>2001-03-14</t>
        </is>
      </c>
      <c r="W744" t="inlineStr">
        <is>
          <t>1990-10-05</t>
        </is>
      </c>
      <c r="X744" t="inlineStr">
        <is>
          <t>1990-10-05</t>
        </is>
      </c>
      <c r="Y744" t="n">
        <v>536</v>
      </c>
      <c r="Z744" t="n">
        <v>464</v>
      </c>
      <c r="AA744" t="n">
        <v>548</v>
      </c>
      <c r="AB744" t="n">
        <v>7</v>
      </c>
      <c r="AC744" t="n">
        <v>7</v>
      </c>
      <c r="AD744" t="n">
        <v>19</v>
      </c>
      <c r="AE744" t="n">
        <v>21</v>
      </c>
      <c r="AF744" t="n">
        <v>2</v>
      </c>
      <c r="AG744" t="n">
        <v>3</v>
      </c>
      <c r="AH744" t="n">
        <v>4</v>
      </c>
      <c r="AI744" t="n">
        <v>5</v>
      </c>
      <c r="AJ744" t="n">
        <v>8</v>
      </c>
      <c r="AK744" t="n">
        <v>10</v>
      </c>
      <c r="AL744" t="n">
        <v>4</v>
      </c>
      <c r="AM744" t="n">
        <v>4</v>
      </c>
      <c r="AN744" t="n">
        <v>4</v>
      </c>
      <c r="AO744" t="n">
        <v>4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HYPERLINK("http://catalog.hathitrust.org/Record/000740608","HathiTrust Record")</f>
        <v/>
      </c>
      <c r="AS744">
        <f>HYPERLINK("https://creighton-primo.hosted.exlibrisgroup.com/primo-explore/search?tab=default_tab&amp;search_scope=EVERYTHING&amp;vid=01CRU&amp;lang=en_US&amp;offset=0&amp;query=any,contains,991004161699702656","Catalog Record")</f>
        <v/>
      </c>
      <c r="AT744">
        <f>HYPERLINK("http://www.worldcat.org/oclc/2553399","WorldCat Record")</f>
        <v/>
      </c>
      <c r="AU744" t="inlineStr">
        <is>
          <t>2260965872:eng</t>
        </is>
      </c>
      <c r="AV744" t="inlineStr">
        <is>
          <t>2553399</t>
        </is>
      </c>
      <c r="AW744" t="inlineStr">
        <is>
          <t>991004161699702656</t>
        </is>
      </c>
      <c r="AX744" t="inlineStr">
        <is>
          <t>991004161699702656</t>
        </is>
      </c>
      <c r="AY744" t="inlineStr">
        <is>
          <t>2255261080002656</t>
        </is>
      </c>
      <c r="AZ744" t="inlineStr">
        <is>
          <t>BOOK</t>
        </is>
      </c>
      <c r="BB744" t="inlineStr">
        <is>
          <t>9780465068302</t>
        </is>
      </c>
      <c r="BC744" t="inlineStr">
        <is>
          <t>32285000332881</t>
        </is>
      </c>
      <c r="BD744" t="inlineStr">
        <is>
          <t>893624419</t>
        </is>
      </c>
    </row>
    <row r="745">
      <c r="A745" t="inlineStr">
        <is>
          <t>No</t>
        </is>
      </c>
      <c r="B745" t="inlineStr">
        <is>
          <t>HV6558 .S27 1975</t>
        </is>
      </c>
      <c r="C745" t="inlineStr">
        <is>
          <t>0                      HV 6558000S  27          1975</t>
        </is>
      </c>
      <c r="D745" t="inlineStr">
        <is>
          <t>Rape victimology / edited by LeRoy G. Schultz.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Schultz, LeRoy G., compiler.</t>
        </is>
      </c>
      <c r="L745" t="inlineStr">
        <is>
          <t>Springfield, Ill. : Thomas, [1974, c1975]</t>
        </is>
      </c>
      <c r="M745" t="inlineStr">
        <is>
          <t>1974</t>
        </is>
      </c>
      <c r="O745" t="inlineStr">
        <is>
          <t>eng</t>
        </is>
      </c>
      <c r="P745" t="inlineStr">
        <is>
          <t>ilu</t>
        </is>
      </c>
      <c r="R745" t="inlineStr">
        <is>
          <t xml:space="preserve">HV </t>
        </is>
      </c>
      <c r="S745" t="n">
        <v>17</v>
      </c>
      <c r="T745" t="n">
        <v>17</v>
      </c>
      <c r="U745" t="inlineStr">
        <is>
          <t>2001-03-14</t>
        </is>
      </c>
      <c r="V745" t="inlineStr">
        <is>
          <t>2001-03-14</t>
        </is>
      </c>
      <c r="W745" t="inlineStr">
        <is>
          <t>1991-12-05</t>
        </is>
      </c>
      <c r="X745" t="inlineStr">
        <is>
          <t>1991-12-05</t>
        </is>
      </c>
      <c r="Y745" t="n">
        <v>449</v>
      </c>
      <c r="Z745" t="n">
        <v>385</v>
      </c>
      <c r="AA745" t="n">
        <v>396</v>
      </c>
      <c r="AB745" t="n">
        <v>3</v>
      </c>
      <c r="AC745" t="n">
        <v>3</v>
      </c>
      <c r="AD745" t="n">
        <v>21</v>
      </c>
      <c r="AE745" t="n">
        <v>21</v>
      </c>
      <c r="AF745" t="n">
        <v>6</v>
      </c>
      <c r="AG745" t="n">
        <v>6</v>
      </c>
      <c r="AH745" t="n">
        <v>3</v>
      </c>
      <c r="AI745" t="n">
        <v>3</v>
      </c>
      <c r="AJ745" t="n">
        <v>9</v>
      </c>
      <c r="AK745" t="n">
        <v>9</v>
      </c>
      <c r="AL745" t="n">
        <v>2</v>
      </c>
      <c r="AM745" t="n">
        <v>2</v>
      </c>
      <c r="AN745" t="n">
        <v>5</v>
      </c>
      <c r="AO745" t="n">
        <v>5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HYPERLINK("http://catalog.hathitrust.org/Record/001744488","HathiTrust Record")</f>
        <v/>
      </c>
      <c r="AS745">
        <f>HYPERLINK("https://creighton-primo.hosted.exlibrisgroup.com/primo-explore/search?tab=default_tab&amp;search_scope=EVERYTHING&amp;vid=01CRU&amp;lang=en_US&amp;offset=0&amp;query=any,contains,991003362429702656","Catalog Record")</f>
        <v/>
      </c>
      <c r="AT745">
        <f>HYPERLINK("http://www.worldcat.org/oclc/898092","WorldCat Record")</f>
        <v/>
      </c>
      <c r="AU745" t="inlineStr">
        <is>
          <t>471555:eng</t>
        </is>
      </c>
      <c r="AV745" t="inlineStr">
        <is>
          <t>898092</t>
        </is>
      </c>
      <c r="AW745" t="inlineStr">
        <is>
          <t>991003362429702656</t>
        </is>
      </c>
      <c r="AX745" t="inlineStr">
        <is>
          <t>991003362429702656</t>
        </is>
      </c>
      <c r="AY745" t="inlineStr">
        <is>
          <t>2259444680002656</t>
        </is>
      </c>
      <c r="AZ745" t="inlineStr">
        <is>
          <t>BOOK</t>
        </is>
      </c>
      <c r="BB745" t="inlineStr">
        <is>
          <t>9780398031831</t>
        </is>
      </c>
      <c r="BC745" t="inlineStr">
        <is>
          <t>32285000847516</t>
        </is>
      </c>
      <c r="BD745" t="inlineStr">
        <is>
          <t>893705157</t>
        </is>
      </c>
    </row>
    <row r="746">
      <c r="A746" t="inlineStr">
        <is>
          <t>No</t>
        </is>
      </c>
      <c r="B746" t="inlineStr">
        <is>
          <t>HV6558 .V56 1985</t>
        </is>
      </c>
      <c r="C746" t="inlineStr">
        <is>
          <t>0                      HV 6558000V  56          1985</t>
        </is>
      </c>
      <c r="D746" t="inlineStr">
        <is>
          <t>Violence against women : a critique of the sociobiology of rape / edited by Suzanne R. Sunday and Ethel Tobach.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L746" t="inlineStr">
        <is>
          <t>New York : Gordian Press, 1985.</t>
        </is>
      </c>
      <c r="M746" t="inlineStr">
        <is>
          <t>1985</t>
        </is>
      </c>
      <c r="O746" t="inlineStr">
        <is>
          <t>eng</t>
        </is>
      </c>
      <c r="P746" t="inlineStr">
        <is>
          <t>nyu</t>
        </is>
      </c>
      <c r="Q746" t="inlineStr">
        <is>
          <t>A Genes and gender monograph</t>
        </is>
      </c>
      <c r="R746" t="inlineStr">
        <is>
          <t xml:space="preserve">HV </t>
        </is>
      </c>
      <c r="S746" t="n">
        <v>27</v>
      </c>
      <c r="T746" t="n">
        <v>27</v>
      </c>
      <c r="U746" t="inlineStr">
        <is>
          <t>2005-10-30</t>
        </is>
      </c>
      <c r="V746" t="inlineStr">
        <is>
          <t>2005-10-30</t>
        </is>
      </c>
      <c r="W746" t="inlineStr">
        <is>
          <t>1990-04-12</t>
        </is>
      </c>
      <c r="X746" t="inlineStr">
        <is>
          <t>1990-04-12</t>
        </is>
      </c>
      <c r="Y746" t="n">
        <v>464</v>
      </c>
      <c r="Z746" t="n">
        <v>393</v>
      </c>
      <c r="AA746" t="n">
        <v>396</v>
      </c>
      <c r="AB746" t="n">
        <v>5</v>
      </c>
      <c r="AC746" t="n">
        <v>5</v>
      </c>
      <c r="AD746" t="n">
        <v>24</v>
      </c>
      <c r="AE746" t="n">
        <v>24</v>
      </c>
      <c r="AF746" t="n">
        <v>6</v>
      </c>
      <c r="AG746" t="n">
        <v>6</v>
      </c>
      <c r="AH746" t="n">
        <v>9</v>
      </c>
      <c r="AI746" t="n">
        <v>9</v>
      </c>
      <c r="AJ746" t="n">
        <v>11</v>
      </c>
      <c r="AK746" t="n">
        <v>11</v>
      </c>
      <c r="AL746" t="n">
        <v>4</v>
      </c>
      <c r="AM746" t="n">
        <v>4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HYPERLINK("http://catalog.hathitrust.org/Record/000554681","HathiTrust Record")</f>
        <v/>
      </c>
      <c r="AS746">
        <f>HYPERLINK("https://creighton-primo.hosted.exlibrisgroup.com/primo-explore/search?tab=default_tab&amp;search_scope=EVERYTHING&amp;vid=01CRU&amp;lang=en_US&amp;offset=0&amp;query=any,contains,991000659259702656","Catalog Record")</f>
        <v/>
      </c>
      <c r="AT746">
        <f>HYPERLINK("http://www.worldcat.org/oclc/12235945","WorldCat Record")</f>
        <v/>
      </c>
      <c r="AU746" t="inlineStr">
        <is>
          <t>865283779:eng</t>
        </is>
      </c>
      <c r="AV746" t="inlineStr">
        <is>
          <t>12235945</t>
        </is>
      </c>
      <c r="AW746" t="inlineStr">
        <is>
          <t>991000659259702656</t>
        </is>
      </c>
      <c r="AX746" t="inlineStr">
        <is>
          <t>991000659259702656</t>
        </is>
      </c>
      <c r="AY746" t="inlineStr">
        <is>
          <t>2261628340002656</t>
        </is>
      </c>
      <c r="AZ746" t="inlineStr">
        <is>
          <t>BOOK</t>
        </is>
      </c>
      <c r="BB746" t="inlineStr">
        <is>
          <t>9780877522317</t>
        </is>
      </c>
      <c r="BC746" t="inlineStr">
        <is>
          <t>32285000121888</t>
        </is>
      </c>
      <c r="BD746" t="inlineStr">
        <is>
          <t>893897098</t>
        </is>
      </c>
    </row>
    <row r="747">
      <c r="A747" t="inlineStr">
        <is>
          <t>No</t>
        </is>
      </c>
      <c r="B747" t="inlineStr">
        <is>
          <t>HV6561 .B34 1989</t>
        </is>
      </c>
      <c r="C747" t="inlineStr">
        <is>
          <t>0                      HV 6561000B  34          1989</t>
        </is>
      </c>
      <c r="D747" t="inlineStr">
        <is>
          <t>Four theories of rape in American society : a state-level analysis / Larry Baron and Murray A. Straus.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Baron, Larry.</t>
        </is>
      </c>
      <c r="L747" t="inlineStr">
        <is>
          <t>New Haven : Yale University Press, c1989.</t>
        </is>
      </c>
      <c r="M747" t="inlineStr">
        <is>
          <t>1989</t>
        </is>
      </c>
      <c r="O747" t="inlineStr">
        <is>
          <t>eng</t>
        </is>
      </c>
      <c r="P747" t="inlineStr">
        <is>
          <t>ctu</t>
        </is>
      </c>
      <c r="R747" t="inlineStr">
        <is>
          <t xml:space="preserve">HV </t>
        </is>
      </c>
      <c r="S747" t="n">
        <v>26</v>
      </c>
      <c r="T747" t="n">
        <v>26</v>
      </c>
      <c r="U747" t="inlineStr">
        <is>
          <t>2010-12-09</t>
        </is>
      </c>
      <c r="V747" t="inlineStr">
        <is>
          <t>2010-12-09</t>
        </is>
      </c>
      <c r="W747" t="inlineStr">
        <is>
          <t>1990-06-12</t>
        </is>
      </c>
      <c r="X747" t="inlineStr">
        <is>
          <t>1990-06-12</t>
        </is>
      </c>
      <c r="Y747" t="n">
        <v>952</v>
      </c>
      <c r="Z747" t="n">
        <v>857</v>
      </c>
      <c r="AA747" t="n">
        <v>859</v>
      </c>
      <c r="AB747" t="n">
        <v>4</v>
      </c>
      <c r="AC747" t="n">
        <v>4</v>
      </c>
      <c r="AD747" t="n">
        <v>53</v>
      </c>
      <c r="AE747" t="n">
        <v>53</v>
      </c>
      <c r="AF747" t="n">
        <v>19</v>
      </c>
      <c r="AG747" t="n">
        <v>19</v>
      </c>
      <c r="AH747" t="n">
        <v>10</v>
      </c>
      <c r="AI747" t="n">
        <v>10</v>
      </c>
      <c r="AJ747" t="n">
        <v>20</v>
      </c>
      <c r="AK747" t="n">
        <v>20</v>
      </c>
      <c r="AL747" t="n">
        <v>3</v>
      </c>
      <c r="AM747" t="n">
        <v>3</v>
      </c>
      <c r="AN747" t="n">
        <v>13</v>
      </c>
      <c r="AO747" t="n">
        <v>13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HYPERLINK("https://creighton-primo.hosted.exlibrisgroup.com/primo-explore/search?tab=default_tab&amp;search_scope=EVERYTHING&amp;vid=01CRU&amp;lang=en_US&amp;offset=0&amp;query=any,contains,991001462789702656","Catalog Record")</f>
        <v/>
      </c>
      <c r="AT747">
        <f>HYPERLINK("http://www.worldcat.org/oclc/19457085","WorldCat Record")</f>
        <v/>
      </c>
      <c r="AU747" t="inlineStr">
        <is>
          <t>21206398:eng</t>
        </is>
      </c>
      <c r="AV747" t="inlineStr">
        <is>
          <t>19457085</t>
        </is>
      </c>
      <c r="AW747" t="inlineStr">
        <is>
          <t>991001462789702656</t>
        </is>
      </c>
      <c r="AX747" t="inlineStr">
        <is>
          <t>991001462789702656</t>
        </is>
      </c>
      <c r="AY747" t="inlineStr">
        <is>
          <t>2267241750002656</t>
        </is>
      </c>
      <c r="AZ747" t="inlineStr">
        <is>
          <t>BOOK</t>
        </is>
      </c>
      <c r="BB747" t="inlineStr">
        <is>
          <t>9780300045192</t>
        </is>
      </c>
      <c r="BC747" t="inlineStr">
        <is>
          <t>32285000175603</t>
        </is>
      </c>
      <c r="BD747" t="inlineStr">
        <is>
          <t>893703050</t>
        </is>
      </c>
    </row>
    <row r="748">
      <c r="A748" t="inlineStr">
        <is>
          <t>No</t>
        </is>
      </c>
      <c r="B748" t="inlineStr">
        <is>
          <t>HV6561 .B49 2000</t>
        </is>
      </c>
      <c r="C748" t="inlineStr">
        <is>
          <t>0                      HV 6561000B  49          2000</t>
        </is>
      </c>
      <c r="D748" t="inlineStr">
        <is>
          <t>Rape on the public agenda : feminism and the politics of sexual assault / Maria Bevacqua.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Bevacqua, Maria, 1968-</t>
        </is>
      </c>
      <c r="L748" t="inlineStr">
        <is>
          <t>Boston : Northeastern University Press, c2000.</t>
        </is>
      </c>
      <c r="M748" t="inlineStr">
        <is>
          <t>2000</t>
        </is>
      </c>
      <c r="O748" t="inlineStr">
        <is>
          <t>eng</t>
        </is>
      </c>
      <c r="P748" t="inlineStr">
        <is>
          <t>mau</t>
        </is>
      </c>
      <c r="R748" t="inlineStr">
        <is>
          <t xml:space="preserve">HV </t>
        </is>
      </c>
      <c r="S748" t="n">
        <v>7</v>
      </c>
      <c r="T748" t="n">
        <v>7</v>
      </c>
      <c r="U748" t="inlineStr">
        <is>
          <t>2004-04-18</t>
        </is>
      </c>
      <c r="V748" t="inlineStr">
        <is>
          <t>2004-04-18</t>
        </is>
      </c>
      <c r="W748" t="inlineStr">
        <is>
          <t>2001-10-01</t>
        </is>
      </c>
      <c r="X748" t="inlineStr">
        <is>
          <t>2001-10-01</t>
        </is>
      </c>
      <c r="Y748" t="n">
        <v>693</v>
      </c>
      <c r="Z748" t="n">
        <v>612</v>
      </c>
      <c r="AA748" t="n">
        <v>613</v>
      </c>
      <c r="AB748" t="n">
        <v>2</v>
      </c>
      <c r="AC748" t="n">
        <v>2</v>
      </c>
      <c r="AD748" t="n">
        <v>37</v>
      </c>
      <c r="AE748" t="n">
        <v>37</v>
      </c>
      <c r="AF748" t="n">
        <v>13</v>
      </c>
      <c r="AG748" t="n">
        <v>13</v>
      </c>
      <c r="AH748" t="n">
        <v>8</v>
      </c>
      <c r="AI748" t="n">
        <v>8</v>
      </c>
      <c r="AJ748" t="n">
        <v>19</v>
      </c>
      <c r="AK748" t="n">
        <v>19</v>
      </c>
      <c r="AL748" t="n">
        <v>1</v>
      </c>
      <c r="AM748" t="n">
        <v>1</v>
      </c>
      <c r="AN748" t="n">
        <v>3</v>
      </c>
      <c r="AO748" t="n">
        <v>3</v>
      </c>
      <c r="AP748" t="inlineStr">
        <is>
          <t>No</t>
        </is>
      </c>
      <c r="AQ748" t="inlineStr">
        <is>
          <t>No</t>
        </is>
      </c>
      <c r="AS748">
        <f>HYPERLINK("https://creighton-primo.hosted.exlibrisgroup.com/primo-explore/search?tab=default_tab&amp;search_scope=EVERYTHING&amp;vid=01CRU&amp;lang=en_US&amp;offset=0&amp;query=any,contains,991003618009702656","Catalog Record")</f>
        <v/>
      </c>
      <c r="AT748">
        <f>HYPERLINK("http://www.worldcat.org/oclc/43287050","WorldCat Record")</f>
        <v/>
      </c>
      <c r="AU748" t="inlineStr">
        <is>
          <t>196880140:eng</t>
        </is>
      </c>
      <c r="AV748" t="inlineStr">
        <is>
          <t>43287050</t>
        </is>
      </c>
      <c r="AW748" t="inlineStr">
        <is>
          <t>991003618009702656</t>
        </is>
      </c>
      <c r="AX748" t="inlineStr">
        <is>
          <t>991003618009702656</t>
        </is>
      </c>
      <c r="AY748" t="inlineStr">
        <is>
          <t>2268600850002656</t>
        </is>
      </c>
      <c r="AZ748" t="inlineStr">
        <is>
          <t>BOOK</t>
        </is>
      </c>
      <c r="BB748" t="inlineStr">
        <is>
          <t>9781555534462</t>
        </is>
      </c>
      <c r="BC748" t="inlineStr">
        <is>
          <t>32285004394366</t>
        </is>
      </c>
      <c r="BD748" t="inlineStr">
        <is>
          <t>893805988</t>
        </is>
      </c>
    </row>
    <row r="749">
      <c r="A749" t="inlineStr">
        <is>
          <t>No</t>
        </is>
      </c>
      <c r="B749" t="inlineStr">
        <is>
          <t>HV6561 .B65 1993</t>
        </is>
      </c>
      <c r="C749" t="inlineStr">
        <is>
          <t>0                      HV 6561000B  65          1993</t>
        </is>
      </c>
      <c r="D749" t="inlineStr">
        <is>
          <t>Sexual assault on campus : the problem and the solution / Carol Bohmer, Andrea Parrot.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Bohmer, Carol.</t>
        </is>
      </c>
      <c r="L749" t="inlineStr">
        <is>
          <t>New York : Lexington Books ; Toronto : Maxwell Macmillan Canada ; New York : Maxwell Macmillan International, c1993.</t>
        </is>
      </c>
      <c r="M749" t="inlineStr">
        <is>
          <t>1993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HV </t>
        </is>
      </c>
      <c r="S749" t="n">
        <v>21</v>
      </c>
      <c r="T749" t="n">
        <v>21</v>
      </c>
      <c r="U749" t="inlineStr">
        <is>
          <t>2007-09-13</t>
        </is>
      </c>
      <c r="V749" t="inlineStr">
        <is>
          <t>2007-09-13</t>
        </is>
      </c>
      <c r="W749" t="inlineStr">
        <is>
          <t>1996-12-15</t>
        </is>
      </c>
      <c r="X749" t="inlineStr">
        <is>
          <t>1996-12-15</t>
        </is>
      </c>
      <c r="Y749" t="n">
        <v>953</v>
      </c>
      <c r="Z749" t="n">
        <v>875</v>
      </c>
      <c r="AA749" t="n">
        <v>881</v>
      </c>
      <c r="AB749" t="n">
        <v>7</v>
      </c>
      <c r="AC749" t="n">
        <v>7</v>
      </c>
      <c r="AD749" t="n">
        <v>32</v>
      </c>
      <c r="AE749" t="n">
        <v>32</v>
      </c>
      <c r="AF749" t="n">
        <v>11</v>
      </c>
      <c r="AG749" t="n">
        <v>11</v>
      </c>
      <c r="AH749" t="n">
        <v>8</v>
      </c>
      <c r="AI749" t="n">
        <v>8</v>
      </c>
      <c r="AJ749" t="n">
        <v>12</v>
      </c>
      <c r="AK749" t="n">
        <v>12</v>
      </c>
      <c r="AL749" t="n">
        <v>6</v>
      </c>
      <c r="AM749" t="n">
        <v>6</v>
      </c>
      <c r="AN749" t="n">
        <v>2</v>
      </c>
      <c r="AO749" t="n">
        <v>2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HYPERLINK("http://catalog.hathitrust.org/Record/002643810","HathiTrust Record")</f>
        <v/>
      </c>
      <c r="AS749">
        <f>HYPERLINK("https://creighton-primo.hosted.exlibrisgroup.com/primo-explore/search?tab=default_tab&amp;search_scope=EVERYTHING&amp;vid=01CRU&amp;lang=en_US&amp;offset=0&amp;query=any,contains,991002147269702656","Catalog Record")</f>
        <v/>
      </c>
      <c r="AT749">
        <f>HYPERLINK("http://www.worldcat.org/oclc/27677839","WorldCat Record")</f>
        <v/>
      </c>
      <c r="AU749" t="inlineStr">
        <is>
          <t>317262497:eng</t>
        </is>
      </c>
      <c r="AV749" t="inlineStr">
        <is>
          <t>27677839</t>
        </is>
      </c>
      <c r="AW749" t="inlineStr">
        <is>
          <t>991002147269702656</t>
        </is>
      </c>
      <c r="AX749" t="inlineStr">
        <is>
          <t>991002147269702656</t>
        </is>
      </c>
      <c r="AY749" t="inlineStr">
        <is>
          <t>2262325170002656</t>
        </is>
      </c>
      <c r="AZ749" t="inlineStr">
        <is>
          <t>BOOK</t>
        </is>
      </c>
      <c r="BB749" t="inlineStr">
        <is>
          <t>9780029037157</t>
        </is>
      </c>
      <c r="BC749" t="inlineStr">
        <is>
          <t>32285002397015</t>
        </is>
      </c>
      <c r="BD749" t="inlineStr">
        <is>
          <t>893879551</t>
        </is>
      </c>
    </row>
    <row r="750">
      <c r="A750" t="inlineStr">
        <is>
          <t>No</t>
        </is>
      </c>
      <c r="B750" t="inlineStr">
        <is>
          <t>HV6561 .B68 1989</t>
        </is>
      </c>
      <c r="C750" t="inlineStr">
        <is>
          <t>0                      HV 6561000B  68          1989</t>
        </is>
      </c>
      <c r="D750" t="inlineStr">
        <is>
          <t>Defining rape / Linda Brookover Bourque.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Bourque, Linda Brookover, 1941-</t>
        </is>
      </c>
      <c r="L750" t="inlineStr">
        <is>
          <t>Durham : Duke University Press, c1989.</t>
        </is>
      </c>
      <c r="M750" t="inlineStr">
        <is>
          <t>1989</t>
        </is>
      </c>
      <c r="O750" t="inlineStr">
        <is>
          <t>eng</t>
        </is>
      </c>
      <c r="P750" t="inlineStr">
        <is>
          <t>ncu</t>
        </is>
      </c>
      <c r="R750" t="inlineStr">
        <is>
          <t xml:space="preserve">HV </t>
        </is>
      </c>
      <c r="S750" t="n">
        <v>31</v>
      </c>
      <c r="T750" t="n">
        <v>31</v>
      </c>
      <c r="U750" t="inlineStr">
        <is>
          <t>2004-04-18</t>
        </is>
      </c>
      <c r="V750" t="inlineStr">
        <is>
          <t>2004-04-18</t>
        </is>
      </c>
      <c r="W750" t="inlineStr">
        <is>
          <t>1990-01-02</t>
        </is>
      </c>
      <c r="X750" t="inlineStr">
        <is>
          <t>1990-01-02</t>
        </is>
      </c>
      <c r="Y750" t="n">
        <v>731</v>
      </c>
      <c r="Z750" t="n">
        <v>643</v>
      </c>
      <c r="AA750" t="n">
        <v>653</v>
      </c>
      <c r="AB750" t="n">
        <v>4</v>
      </c>
      <c r="AC750" t="n">
        <v>4</v>
      </c>
      <c r="AD750" t="n">
        <v>36</v>
      </c>
      <c r="AE750" t="n">
        <v>36</v>
      </c>
      <c r="AF750" t="n">
        <v>8</v>
      </c>
      <c r="AG750" t="n">
        <v>8</v>
      </c>
      <c r="AH750" t="n">
        <v>7</v>
      </c>
      <c r="AI750" t="n">
        <v>7</v>
      </c>
      <c r="AJ750" t="n">
        <v>16</v>
      </c>
      <c r="AK750" t="n">
        <v>16</v>
      </c>
      <c r="AL750" t="n">
        <v>3</v>
      </c>
      <c r="AM750" t="n">
        <v>3</v>
      </c>
      <c r="AN750" t="n">
        <v>9</v>
      </c>
      <c r="AO750" t="n">
        <v>9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HYPERLINK("http://catalog.hathitrust.org/Record/001302553","HathiTrust Record")</f>
        <v/>
      </c>
      <c r="AS750">
        <f>HYPERLINK("https://creighton-primo.hosted.exlibrisgroup.com/primo-explore/search?tab=default_tab&amp;search_scope=EVERYTHING&amp;vid=01CRU&amp;lang=en_US&amp;offset=0&amp;query=any,contains,991001365469702656","Catalog Record")</f>
        <v/>
      </c>
      <c r="AT750">
        <f>HYPERLINK("http://www.worldcat.org/oclc/18558079","WorldCat Record")</f>
        <v/>
      </c>
      <c r="AU750" t="inlineStr">
        <is>
          <t>17386812:eng</t>
        </is>
      </c>
      <c r="AV750" t="inlineStr">
        <is>
          <t>18558079</t>
        </is>
      </c>
      <c r="AW750" t="inlineStr">
        <is>
          <t>991001365469702656</t>
        </is>
      </c>
      <c r="AX750" t="inlineStr">
        <is>
          <t>991001365469702656</t>
        </is>
      </c>
      <c r="AY750" t="inlineStr">
        <is>
          <t>2261981380002656</t>
        </is>
      </c>
      <c r="AZ750" t="inlineStr">
        <is>
          <t>BOOK</t>
        </is>
      </c>
      <c r="BB750" t="inlineStr">
        <is>
          <t>9780822309017</t>
        </is>
      </c>
      <c r="BC750" t="inlineStr">
        <is>
          <t>32285000019140</t>
        </is>
      </c>
      <c r="BD750" t="inlineStr">
        <is>
          <t>893885247</t>
        </is>
      </c>
    </row>
    <row r="751">
      <c r="A751" t="inlineStr">
        <is>
          <t>No</t>
        </is>
      </c>
      <c r="B751" t="inlineStr">
        <is>
          <t>HV6561 .G67 1989</t>
        </is>
      </c>
      <c r="C751" t="inlineStr">
        <is>
          <t>0                      HV 6561000G  67          1989</t>
        </is>
      </c>
      <c r="D751" t="inlineStr">
        <is>
          <t>The female fear / Margaret T. Gordon, Stephanie Riger.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Gordon, Margaret T., 1939-</t>
        </is>
      </c>
      <c r="L751" t="inlineStr">
        <is>
          <t>New York : Free Press ; London : Collier Macmillan, c1989.</t>
        </is>
      </c>
      <c r="M751" t="inlineStr">
        <is>
          <t>1988</t>
        </is>
      </c>
      <c r="O751" t="inlineStr">
        <is>
          <t>eng</t>
        </is>
      </c>
      <c r="P751" t="inlineStr">
        <is>
          <t>nyu</t>
        </is>
      </c>
      <c r="R751" t="inlineStr">
        <is>
          <t xml:space="preserve">HV </t>
        </is>
      </c>
      <c r="S751" t="n">
        <v>20</v>
      </c>
      <c r="T751" t="n">
        <v>20</v>
      </c>
      <c r="U751" t="inlineStr">
        <is>
          <t>2005-11-07</t>
        </is>
      </c>
      <c r="V751" t="inlineStr">
        <is>
          <t>2005-11-07</t>
        </is>
      </c>
      <c r="W751" t="inlineStr">
        <is>
          <t>1990-02-20</t>
        </is>
      </c>
      <c r="X751" t="inlineStr">
        <is>
          <t>1990-02-20</t>
        </is>
      </c>
      <c r="Y751" t="n">
        <v>1078</v>
      </c>
      <c r="Z751" t="n">
        <v>981</v>
      </c>
      <c r="AA751" t="n">
        <v>1153</v>
      </c>
      <c r="AB751" t="n">
        <v>5</v>
      </c>
      <c r="AC751" t="n">
        <v>7</v>
      </c>
      <c r="AD751" t="n">
        <v>34</v>
      </c>
      <c r="AE751" t="n">
        <v>41</v>
      </c>
      <c r="AF751" t="n">
        <v>13</v>
      </c>
      <c r="AG751" t="n">
        <v>16</v>
      </c>
      <c r="AH751" t="n">
        <v>6</v>
      </c>
      <c r="AI751" t="n">
        <v>6</v>
      </c>
      <c r="AJ751" t="n">
        <v>17</v>
      </c>
      <c r="AK751" t="n">
        <v>19</v>
      </c>
      <c r="AL751" t="n">
        <v>4</v>
      </c>
      <c r="AM751" t="n">
        <v>6</v>
      </c>
      <c r="AN751" t="n">
        <v>1</v>
      </c>
      <c r="AO751" t="n">
        <v>2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HYPERLINK("https://creighton-primo.hosted.exlibrisgroup.com/primo-explore/search?tab=default_tab&amp;search_scope=EVERYTHING&amp;vid=01CRU&amp;lang=en_US&amp;offset=0&amp;query=any,contains,991001317989702656","Catalog Record")</f>
        <v/>
      </c>
      <c r="AT751">
        <f>HYPERLINK("http://www.worldcat.org/oclc/18191783","WorldCat Record")</f>
        <v/>
      </c>
      <c r="AU751" t="inlineStr">
        <is>
          <t>20826122:eng</t>
        </is>
      </c>
      <c r="AV751" t="inlineStr">
        <is>
          <t>18191783</t>
        </is>
      </c>
      <c r="AW751" t="inlineStr">
        <is>
          <t>991001317989702656</t>
        </is>
      </c>
      <c r="AX751" t="inlineStr">
        <is>
          <t>991001317989702656</t>
        </is>
      </c>
      <c r="AY751" t="inlineStr">
        <is>
          <t>2269005670002656</t>
        </is>
      </c>
      <c r="AZ751" t="inlineStr">
        <is>
          <t>BOOK</t>
        </is>
      </c>
      <c r="BB751" t="inlineStr">
        <is>
          <t>9780029124901</t>
        </is>
      </c>
      <c r="BC751" t="inlineStr">
        <is>
          <t>32285000056431</t>
        </is>
      </c>
      <c r="BD751" t="inlineStr">
        <is>
          <t>893897701</t>
        </is>
      </c>
    </row>
    <row r="752">
      <c r="A752" t="inlineStr">
        <is>
          <t>No</t>
        </is>
      </c>
      <c r="B752" t="inlineStr">
        <is>
          <t>HV6561 .K67 1991</t>
        </is>
      </c>
      <c r="C752" t="inlineStr">
        <is>
          <t>0                      HV 6561000K  67          1991</t>
        </is>
      </c>
      <c r="D752" t="inlineStr">
        <is>
          <t>The rape victim : clinical and community interventions / Mary P. Koss, Mary R. Harvey.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Koss, Mary P.</t>
        </is>
      </c>
      <c r="L752" t="inlineStr">
        <is>
          <t>Newbury Park, Calif. : Sage Publications, c1991.</t>
        </is>
      </c>
      <c r="M752" t="inlineStr">
        <is>
          <t>1991</t>
        </is>
      </c>
      <c r="N752" t="inlineStr">
        <is>
          <t>2nd ed.</t>
        </is>
      </c>
      <c r="O752" t="inlineStr">
        <is>
          <t>eng</t>
        </is>
      </c>
      <c r="P752" t="inlineStr">
        <is>
          <t>cau</t>
        </is>
      </c>
      <c r="Q752" t="inlineStr">
        <is>
          <t>Sage library of social research ; 185</t>
        </is>
      </c>
      <c r="R752" t="inlineStr">
        <is>
          <t xml:space="preserve">HV </t>
        </is>
      </c>
      <c r="S752" t="n">
        <v>40</v>
      </c>
      <c r="T752" t="n">
        <v>40</v>
      </c>
      <c r="U752" t="inlineStr">
        <is>
          <t>2007-12-04</t>
        </is>
      </c>
      <c r="V752" t="inlineStr">
        <is>
          <t>2007-12-04</t>
        </is>
      </c>
      <c r="W752" t="inlineStr">
        <is>
          <t>1991-11-04</t>
        </is>
      </c>
      <c r="X752" t="inlineStr">
        <is>
          <t>1991-11-04</t>
        </is>
      </c>
      <c r="Y752" t="n">
        <v>641</v>
      </c>
      <c r="Z752" t="n">
        <v>508</v>
      </c>
      <c r="AA752" t="n">
        <v>514</v>
      </c>
      <c r="AB752" t="n">
        <v>4</v>
      </c>
      <c r="AC752" t="n">
        <v>4</v>
      </c>
      <c r="AD752" t="n">
        <v>26</v>
      </c>
      <c r="AE752" t="n">
        <v>26</v>
      </c>
      <c r="AF752" t="n">
        <v>11</v>
      </c>
      <c r="AG752" t="n">
        <v>11</v>
      </c>
      <c r="AH752" t="n">
        <v>7</v>
      </c>
      <c r="AI752" t="n">
        <v>7</v>
      </c>
      <c r="AJ752" t="n">
        <v>12</v>
      </c>
      <c r="AK752" t="n">
        <v>12</v>
      </c>
      <c r="AL752" t="n">
        <v>3</v>
      </c>
      <c r="AM752" t="n">
        <v>3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HYPERLINK("http://catalog.hathitrust.org/Record/002450426","HathiTrust Record")</f>
        <v/>
      </c>
      <c r="AS752">
        <f>HYPERLINK("https://creighton-primo.hosted.exlibrisgroup.com/primo-explore/search?tab=default_tab&amp;search_scope=EVERYTHING&amp;vid=01CRU&amp;lang=en_US&amp;offset=0&amp;query=any,contains,991001830159702656","Catalog Record")</f>
        <v/>
      </c>
      <c r="AT752">
        <f>HYPERLINK("http://www.worldcat.org/oclc/22984532","WorldCat Record")</f>
        <v/>
      </c>
      <c r="AU752" t="inlineStr">
        <is>
          <t>20712887:eng</t>
        </is>
      </c>
      <c r="AV752" t="inlineStr">
        <is>
          <t>22984532</t>
        </is>
      </c>
      <c r="AW752" t="inlineStr">
        <is>
          <t>991001830159702656</t>
        </is>
      </c>
      <c r="AX752" t="inlineStr">
        <is>
          <t>991001830159702656</t>
        </is>
      </c>
      <c r="AY752" t="inlineStr">
        <is>
          <t>2271643720002656</t>
        </is>
      </c>
      <c r="AZ752" t="inlineStr">
        <is>
          <t>BOOK</t>
        </is>
      </c>
      <c r="BB752" t="inlineStr">
        <is>
          <t>9780803938953</t>
        </is>
      </c>
      <c r="BC752" t="inlineStr">
        <is>
          <t>32285000729052</t>
        </is>
      </c>
      <c r="BD752" t="inlineStr">
        <is>
          <t>893408396</t>
        </is>
      </c>
    </row>
    <row r="753">
      <c r="A753" t="inlineStr">
        <is>
          <t>No</t>
        </is>
      </c>
      <c r="B753" t="inlineStr">
        <is>
          <t>HV6561 .R37 1985</t>
        </is>
      </c>
      <c r="C753" t="inlineStr">
        <is>
          <t>0                      HV 6561000R  37          1985</t>
        </is>
      </c>
      <c r="D753" t="inlineStr">
        <is>
          <t>Rape and sexual assault : a research handbook / Ann Wolbert Burgess, editor.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L753" t="inlineStr">
        <is>
          <t>New York : Garland Pub., 1985.</t>
        </is>
      </c>
      <c r="M753" t="inlineStr">
        <is>
          <t>1985</t>
        </is>
      </c>
      <c r="O753" t="inlineStr">
        <is>
          <t>eng</t>
        </is>
      </c>
      <c r="P753" t="inlineStr">
        <is>
          <t>nyu</t>
        </is>
      </c>
      <c r="Q753" t="inlineStr">
        <is>
          <t>Garland reference library of social science ; vol. 203</t>
        </is>
      </c>
      <c r="R753" t="inlineStr">
        <is>
          <t xml:space="preserve">HV </t>
        </is>
      </c>
      <c r="S753" t="n">
        <v>30</v>
      </c>
      <c r="T753" t="n">
        <v>30</v>
      </c>
      <c r="U753" t="inlineStr">
        <is>
          <t>2002-04-07</t>
        </is>
      </c>
      <c r="V753" t="inlineStr">
        <is>
          <t>2002-04-07</t>
        </is>
      </c>
      <c r="W753" t="inlineStr">
        <is>
          <t>1990-06-07</t>
        </is>
      </c>
      <c r="X753" t="inlineStr">
        <is>
          <t>1990-06-07</t>
        </is>
      </c>
      <c r="Y753" t="n">
        <v>879</v>
      </c>
      <c r="Z753" t="n">
        <v>779</v>
      </c>
      <c r="AA753" t="n">
        <v>787</v>
      </c>
      <c r="AB753" t="n">
        <v>7</v>
      </c>
      <c r="AC753" t="n">
        <v>7</v>
      </c>
      <c r="AD753" t="n">
        <v>30</v>
      </c>
      <c r="AE753" t="n">
        <v>30</v>
      </c>
      <c r="AF753" t="n">
        <v>13</v>
      </c>
      <c r="AG753" t="n">
        <v>13</v>
      </c>
      <c r="AH753" t="n">
        <v>6</v>
      </c>
      <c r="AI753" t="n">
        <v>6</v>
      </c>
      <c r="AJ753" t="n">
        <v>11</v>
      </c>
      <c r="AK753" t="n">
        <v>11</v>
      </c>
      <c r="AL753" t="n">
        <v>6</v>
      </c>
      <c r="AM753" t="n">
        <v>6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HYPERLINK("http://catalog.hathitrust.org/Record/000367727","HathiTrust Record")</f>
        <v/>
      </c>
      <c r="AS753">
        <f>HYPERLINK("https://creighton-primo.hosted.exlibrisgroup.com/primo-explore/search?tab=default_tab&amp;search_scope=EVERYTHING&amp;vid=01CRU&amp;lang=en_US&amp;offset=0&amp;query=any,contains,991000505799702656","Catalog Record")</f>
        <v/>
      </c>
      <c r="AT753">
        <f>HYPERLINK("http://www.worldcat.org/oclc/11210933","WorldCat Record")</f>
        <v/>
      </c>
      <c r="AU753" t="inlineStr">
        <is>
          <t>836679523:eng</t>
        </is>
      </c>
      <c r="AV753" t="inlineStr">
        <is>
          <t>11210933</t>
        </is>
      </c>
      <c r="AW753" t="inlineStr">
        <is>
          <t>991000505799702656</t>
        </is>
      </c>
      <c r="AX753" t="inlineStr">
        <is>
          <t>991000505799702656</t>
        </is>
      </c>
      <c r="AY753" t="inlineStr">
        <is>
          <t>2256521660002656</t>
        </is>
      </c>
      <c r="AZ753" t="inlineStr">
        <is>
          <t>BOOK</t>
        </is>
      </c>
      <c r="BB753" t="inlineStr">
        <is>
          <t>9780824090494</t>
        </is>
      </c>
      <c r="BC753" t="inlineStr">
        <is>
          <t>32285000183649</t>
        </is>
      </c>
      <c r="BD753" t="inlineStr">
        <is>
          <t>893589505</t>
        </is>
      </c>
    </row>
    <row r="754">
      <c r="A754" t="inlineStr">
        <is>
          <t>No</t>
        </is>
      </c>
      <c r="B754" t="inlineStr">
        <is>
          <t>HV6561 .S25 1990</t>
        </is>
      </c>
      <c r="C754" t="inlineStr">
        <is>
          <t>0                      HV 6561000S  25          1990</t>
        </is>
      </c>
      <c r="D754" t="inlineStr">
        <is>
          <t>Fraternity gang rape : sex, brotherhood, and privilege on campus / Peggy Reeves Sanday.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Sanday, Peggy Reeves.</t>
        </is>
      </c>
      <c r="L754" t="inlineStr">
        <is>
          <t>New York : New York University Press, c1990.</t>
        </is>
      </c>
      <c r="M754" t="inlineStr">
        <is>
          <t>1990</t>
        </is>
      </c>
      <c r="O754" t="inlineStr">
        <is>
          <t>eng</t>
        </is>
      </c>
      <c r="P754" t="inlineStr">
        <is>
          <t>nyu</t>
        </is>
      </c>
      <c r="R754" t="inlineStr">
        <is>
          <t xml:space="preserve">HV </t>
        </is>
      </c>
      <c r="S754" t="n">
        <v>52</v>
      </c>
      <c r="T754" t="n">
        <v>52</v>
      </c>
      <c r="U754" t="inlineStr">
        <is>
          <t>2007-11-07</t>
        </is>
      </c>
      <c r="V754" t="inlineStr">
        <is>
          <t>2007-11-07</t>
        </is>
      </c>
      <c r="W754" t="inlineStr">
        <is>
          <t>1991-04-03</t>
        </is>
      </c>
      <c r="X754" t="inlineStr">
        <is>
          <t>1991-04-03</t>
        </is>
      </c>
      <c r="Y754" t="n">
        <v>828</v>
      </c>
      <c r="Z754" t="n">
        <v>732</v>
      </c>
      <c r="AA754" t="n">
        <v>1888</v>
      </c>
      <c r="AB754" t="n">
        <v>6</v>
      </c>
      <c r="AC754" t="n">
        <v>26</v>
      </c>
      <c r="AD754" t="n">
        <v>37</v>
      </c>
      <c r="AE754" t="n">
        <v>67</v>
      </c>
      <c r="AF754" t="n">
        <v>14</v>
      </c>
      <c r="AG754" t="n">
        <v>25</v>
      </c>
      <c r="AH754" t="n">
        <v>7</v>
      </c>
      <c r="AI754" t="n">
        <v>11</v>
      </c>
      <c r="AJ754" t="n">
        <v>15</v>
      </c>
      <c r="AK754" t="n">
        <v>24</v>
      </c>
      <c r="AL754" t="n">
        <v>5</v>
      </c>
      <c r="AM754" t="n">
        <v>16</v>
      </c>
      <c r="AN754" t="n">
        <v>4</v>
      </c>
      <c r="AO754" t="n">
        <v>4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HYPERLINK("https://creighton-primo.hosted.exlibrisgroup.com/primo-explore/search?tab=default_tab&amp;search_scope=EVERYTHING&amp;vid=01CRU&amp;lang=en_US&amp;offset=0&amp;query=any,contains,991001679699702656","Catalog Record")</f>
        <v/>
      </c>
      <c r="AT754">
        <f>HYPERLINK("http://www.worldcat.org/oclc/21336501","WorldCat Record")</f>
        <v/>
      </c>
      <c r="AU754" t="inlineStr">
        <is>
          <t>23524218:eng</t>
        </is>
      </c>
      <c r="AV754" t="inlineStr">
        <is>
          <t>21336501</t>
        </is>
      </c>
      <c r="AW754" t="inlineStr">
        <is>
          <t>991001679699702656</t>
        </is>
      </c>
      <c r="AX754" t="inlineStr">
        <is>
          <t>991001679699702656</t>
        </is>
      </c>
      <c r="AY754" t="inlineStr">
        <is>
          <t>2263291880002656</t>
        </is>
      </c>
      <c r="AZ754" t="inlineStr">
        <is>
          <t>BOOK</t>
        </is>
      </c>
      <c r="BB754" t="inlineStr">
        <is>
          <t>9780814779026</t>
        </is>
      </c>
      <c r="BC754" t="inlineStr">
        <is>
          <t>32285000514934</t>
        </is>
      </c>
      <c r="BD754" t="inlineStr">
        <is>
          <t>893256404</t>
        </is>
      </c>
    </row>
    <row r="755">
      <c r="A755" t="inlineStr">
        <is>
          <t>No</t>
        </is>
      </c>
      <c r="B755" t="inlineStr">
        <is>
          <t>HV6568.L67 M37 1994</t>
        </is>
      </c>
      <c r="C755" t="inlineStr">
        <is>
          <t>0                      HV 6568000L  67                 M  37          1994</t>
        </is>
      </c>
      <c r="D755" t="inlineStr">
        <is>
          <t>Confronting rape : the feminist anti-rape movement and the state / Nancy A. Matthews.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Matthews, Nancy A., 1957-</t>
        </is>
      </c>
      <c r="L755" t="inlineStr">
        <is>
          <t>London ; New York : Routledge, 1994.</t>
        </is>
      </c>
      <c r="M755" t="inlineStr">
        <is>
          <t>1994</t>
        </is>
      </c>
      <c r="O755" t="inlineStr">
        <is>
          <t>eng</t>
        </is>
      </c>
      <c r="P755" t="inlineStr">
        <is>
          <t>enk</t>
        </is>
      </c>
      <c r="Q755" t="inlineStr">
        <is>
          <t>The International library of sociology</t>
        </is>
      </c>
      <c r="R755" t="inlineStr">
        <is>
          <t xml:space="preserve">HV </t>
        </is>
      </c>
      <c r="S755" t="n">
        <v>8</v>
      </c>
      <c r="T755" t="n">
        <v>8</v>
      </c>
      <c r="U755" t="inlineStr">
        <is>
          <t>2004-09-21</t>
        </is>
      </c>
      <c r="V755" t="inlineStr">
        <is>
          <t>2004-09-21</t>
        </is>
      </c>
      <c r="W755" t="inlineStr">
        <is>
          <t>1995-11-09</t>
        </is>
      </c>
      <c r="X755" t="inlineStr">
        <is>
          <t>1995-11-09</t>
        </is>
      </c>
      <c r="Y755" t="n">
        <v>427</v>
      </c>
      <c r="Z755" t="n">
        <v>293</v>
      </c>
      <c r="AA755" t="n">
        <v>320</v>
      </c>
      <c r="AB755" t="n">
        <v>2</v>
      </c>
      <c r="AC755" t="n">
        <v>2</v>
      </c>
      <c r="AD755" t="n">
        <v>13</v>
      </c>
      <c r="AE755" t="n">
        <v>13</v>
      </c>
      <c r="AF755" t="n">
        <v>4</v>
      </c>
      <c r="AG755" t="n">
        <v>4</v>
      </c>
      <c r="AH755" t="n">
        <v>4</v>
      </c>
      <c r="AI755" t="n">
        <v>4</v>
      </c>
      <c r="AJ755" t="n">
        <v>7</v>
      </c>
      <c r="AK755" t="n">
        <v>7</v>
      </c>
      <c r="AL755" t="n">
        <v>1</v>
      </c>
      <c r="AM755" t="n">
        <v>1</v>
      </c>
      <c r="AN755" t="n">
        <v>2</v>
      </c>
      <c r="AO755" t="n">
        <v>2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HYPERLINK("https://creighton-primo.hosted.exlibrisgroup.com/primo-explore/search?tab=default_tab&amp;search_scope=EVERYTHING&amp;vid=01CRU&amp;lang=en_US&amp;offset=0&amp;query=any,contains,991002283229702656","Catalog Record")</f>
        <v/>
      </c>
      <c r="AT755">
        <f>HYPERLINK("http://www.worldcat.org/oclc/29597718","WorldCat Record")</f>
        <v/>
      </c>
      <c r="AU755" t="inlineStr">
        <is>
          <t>801325504:eng</t>
        </is>
      </c>
      <c r="AV755" t="inlineStr">
        <is>
          <t>29597718</t>
        </is>
      </c>
      <c r="AW755" t="inlineStr">
        <is>
          <t>991002283229702656</t>
        </is>
      </c>
      <c r="AX755" t="inlineStr">
        <is>
          <t>991002283229702656</t>
        </is>
      </c>
      <c r="AY755" t="inlineStr">
        <is>
          <t>2266486800002656</t>
        </is>
      </c>
      <c r="AZ755" t="inlineStr">
        <is>
          <t>BOOK</t>
        </is>
      </c>
      <c r="BB755" t="inlineStr">
        <is>
          <t>9780415064910</t>
        </is>
      </c>
      <c r="BC755" t="inlineStr">
        <is>
          <t>32285002102415</t>
        </is>
      </c>
      <c r="BD755" t="inlineStr">
        <is>
          <t>893523418</t>
        </is>
      </c>
    </row>
    <row r="756">
      <c r="A756" t="inlineStr">
        <is>
          <t>No</t>
        </is>
      </c>
      <c r="B756" t="inlineStr">
        <is>
          <t>HV6568.P5 M23</t>
        </is>
      </c>
      <c r="C756" t="inlineStr">
        <is>
          <t>0                      HV 6568000P  5                  M  23</t>
        </is>
      </c>
      <c r="D756" t="inlineStr">
        <is>
          <t>The aftermath of rape / Thomas W. McCahill, Linda C. Meyer, Arthur M. Fischman.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McCahill, Thomas W.</t>
        </is>
      </c>
      <c r="L756" t="inlineStr">
        <is>
          <t>Lexington, Mass. : Lexington Books, 1979.</t>
        </is>
      </c>
      <c r="M756" t="inlineStr">
        <is>
          <t>1979</t>
        </is>
      </c>
      <c r="O756" t="inlineStr">
        <is>
          <t>eng</t>
        </is>
      </c>
      <c r="P756" t="inlineStr">
        <is>
          <t>mau</t>
        </is>
      </c>
      <c r="R756" t="inlineStr">
        <is>
          <t xml:space="preserve">HV </t>
        </is>
      </c>
      <c r="S756" t="n">
        <v>18</v>
      </c>
      <c r="T756" t="n">
        <v>18</v>
      </c>
      <c r="U756" t="inlineStr">
        <is>
          <t>1999-11-15</t>
        </is>
      </c>
      <c r="V756" t="inlineStr">
        <is>
          <t>1999-11-15</t>
        </is>
      </c>
      <c r="W756" t="inlineStr">
        <is>
          <t>1990-04-12</t>
        </is>
      </c>
      <c r="X756" t="inlineStr">
        <is>
          <t>1990-04-12</t>
        </is>
      </c>
      <c r="Y756" t="n">
        <v>622</v>
      </c>
      <c r="Z756" t="n">
        <v>522</v>
      </c>
      <c r="AA756" t="n">
        <v>530</v>
      </c>
      <c r="AB756" t="n">
        <v>5</v>
      </c>
      <c r="AC756" t="n">
        <v>5</v>
      </c>
      <c r="AD756" t="n">
        <v>30</v>
      </c>
      <c r="AE756" t="n">
        <v>30</v>
      </c>
      <c r="AF756" t="n">
        <v>11</v>
      </c>
      <c r="AG756" t="n">
        <v>11</v>
      </c>
      <c r="AH756" t="n">
        <v>5</v>
      </c>
      <c r="AI756" t="n">
        <v>5</v>
      </c>
      <c r="AJ756" t="n">
        <v>8</v>
      </c>
      <c r="AK756" t="n">
        <v>8</v>
      </c>
      <c r="AL756" t="n">
        <v>4</v>
      </c>
      <c r="AM756" t="n">
        <v>4</v>
      </c>
      <c r="AN756" t="n">
        <v>7</v>
      </c>
      <c r="AO756" t="n">
        <v>7</v>
      </c>
      <c r="AP756" t="inlineStr">
        <is>
          <t>No</t>
        </is>
      </c>
      <c r="AQ756" t="inlineStr">
        <is>
          <t>Yes</t>
        </is>
      </c>
      <c r="AR756">
        <f>HYPERLINK("http://catalog.hathitrust.org/Record/000031717","HathiTrust Record")</f>
        <v/>
      </c>
      <c r="AS756">
        <f>HYPERLINK("https://creighton-primo.hosted.exlibrisgroup.com/primo-explore/search?tab=default_tab&amp;search_scope=EVERYTHING&amp;vid=01CRU&amp;lang=en_US&amp;offset=0&amp;query=any,contains,991004793359702656","Catalog Record")</f>
        <v/>
      </c>
      <c r="AT756">
        <f>HYPERLINK("http://www.worldcat.org/oclc/5171992","WorldCat Record")</f>
        <v/>
      </c>
      <c r="AU756" t="inlineStr">
        <is>
          <t>514910:eng</t>
        </is>
      </c>
      <c r="AV756" t="inlineStr">
        <is>
          <t>5171992</t>
        </is>
      </c>
      <c r="AW756" t="inlineStr">
        <is>
          <t>991004793359702656</t>
        </is>
      </c>
      <c r="AX756" t="inlineStr">
        <is>
          <t>991004793359702656</t>
        </is>
      </c>
      <c r="AY756" t="inlineStr">
        <is>
          <t>2259071630002656</t>
        </is>
      </c>
      <c r="AZ756" t="inlineStr">
        <is>
          <t>BOOK</t>
        </is>
      </c>
      <c r="BB756" t="inlineStr">
        <is>
          <t>9780669030181</t>
        </is>
      </c>
      <c r="BC756" t="inlineStr">
        <is>
          <t>32285000121938</t>
        </is>
      </c>
      <c r="BD756" t="inlineStr">
        <is>
          <t>893436760</t>
        </is>
      </c>
    </row>
    <row r="757">
      <c r="A757" t="inlineStr">
        <is>
          <t>No</t>
        </is>
      </c>
      <c r="B757" t="inlineStr">
        <is>
          <t>HV6570.2 .T46 2009</t>
        </is>
      </c>
      <c r="C757" t="inlineStr">
        <is>
          <t>0                      HV 6570200T  46          2009</t>
        </is>
      </c>
      <c r="D757" t="inlineStr">
        <is>
          <t>Tempest in the temple : Jewish communities &amp; child sex scandals / edited by Amy Neustein ; foreword by Elliot Dorff ; preface by Jeremy Rosen ; epilogue by Dane S. Claussen.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Waltham, Mass. : Brandeis University Press ; Hanover [N.H.] : Published by University Press of New England, c2009.</t>
        </is>
      </c>
      <c r="M757" t="inlineStr">
        <is>
          <t>2009</t>
        </is>
      </c>
      <c r="O757" t="inlineStr">
        <is>
          <t>eng</t>
        </is>
      </c>
      <c r="P757" t="inlineStr">
        <is>
          <t>mau</t>
        </is>
      </c>
      <c r="Q757" t="inlineStr">
        <is>
          <t>Brandeis series in American Jewish history, culture, &amp; life</t>
        </is>
      </c>
      <c r="R757" t="inlineStr">
        <is>
          <t xml:space="preserve">HV </t>
        </is>
      </c>
      <c r="S757" t="n">
        <v>1</v>
      </c>
      <c r="T757" t="n">
        <v>1</v>
      </c>
      <c r="U757" t="inlineStr">
        <is>
          <t>2009-09-24</t>
        </is>
      </c>
      <c r="V757" t="inlineStr">
        <is>
          <t>2009-09-24</t>
        </is>
      </c>
      <c r="W757" t="inlineStr">
        <is>
          <t>2009-09-24</t>
        </is>
      </c>
      <c r="X757" t="inlineStr">
        <is>
          <t>2009-09-24</t>
        </is>
      </c>
      <c r="Y757" t="n">
        <v>222</v>
      </c>
      <c r="Z757" t="n">
        <v>196</v>
      </c>
      <c r="AA757" t="n">
        <v>253</v>
      </c>
      <c r="AB757" t="n">
        <v>2</v>
      </c>
      <c r="AC757" t="n">
        <v>3</v>
      </c>
      <c r="AD757" t="n">
        <v>9</v>
      </c>
      <c r="AE757" t="n">
        <v>12</v>
      </c>
      <c r="AF757" t="n">
        <v>3</v>
      </c>
      <c r="AG757" t="n">
        <v>3</v>
      </c>
      <c r="AH757" t="n">
        <v>2</v>
      </c>
      <c r="AI757" t="n">
        <v>3</v>
      </c>
      <c r="AJ757" t="n">
        <v>5</v>
      </c>
      <c r="AK757" t="n">
        <v>6</v>
      </c>
      <c r="AL757" t="n">
        <v>1</v>
      </c>
      <c r="AM757" t="n">
        <v>2</v>
      </c>
      <c r="AN757" t="n">
        <v>1</v>
      </c>
      <c r="AO757" t="n">
        <v>1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HYPERLINK("https://creighton-primo.hosted.exlibrisgroup.com/primo-explore/search?tab=default_tab&amp;search_scope=EVERYTHING&amp;vid=01CRU&amp;lang=en_US&amp;offset=0&amp;query=any,contains,991005334699702656","Catalog Record")</f>
        <v/>
      </c>
      <c r="AT757">
        <f>HYPERLINK("http://www.worldcat.org/oclc/236347753","WorldCat Record")</f>
        <v/>
      </c>
      <c r="AU757" t="inlineStr">
        <is>
          <t>140620585:eng</t>
        </is>
      </c>
      <c r="AV757" t="inlineStr">
        <is>
          <t>236347753</t>
        </is>
      </c>
      <c r="AW757" t="inlineStr">
        <is>
          <t>991005334699702656</t>
        </is>
      </c>
      <c r="AX757" t="inlineStr">
        <is>
          <t>991005334699702656</t>
        </is>
      </c>
      <c r="AY757" t="inlineStr">
        <is>
          <t>2267475330002656</t>
        </is>
      </c>
      <c r="AZ757" t="inlineStr">
        <is>
          <t>BOOK</t>
        </is>
      </c>
      <c r="BB757" t="inlineStr">
        <is>
          <t>9781584656715</t>
        </is>
      </c>
      <c r="BC757" t="inlineStr">
        <is>
          <t>32285005545156</t>
        </is>
      </c>
      <c r="BD757" t="inlineStr">
        <is>
          <t>893254829</t>
        </is>
      </c>
    </row>
    <row r="758">
      <c r="A758" t="inlineStr">
        <is>
          <t>No</t>
        </is>
      </c>
      <c r="B758" t="inlineStr">
        <is>
          <t>HV6570.9 .P73 1994</t>
        </is>
      </c>
      <c r="C758" t="inlineStr">
        <is>
          <t>0                      HV 6570900P  73          1994</t>
        </is>
      </c>
      <c r="D758" t="inlineStr">
        <is>
          <t>Mondays are yellow, Sundays are grey / Ellen Prescott.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Prescott, Ellen, 1954-</t>
        </is>
      </c>
      <c r="L758" t="inlineStr">
        <is>
          <t>Vancouver : Douglas &amp; McIntyre, c1994.</t>
        </is>
      </c>
      <c r="M758" t="inlineStr">
        <is>
          <t>1994</t>
        </is>
      </c>
      <c r="O758" t="inlineStr">
        <is>
          <t>eng</t>
        </is>
      </c>
      <c r="P758" t="inlineStr">
        <is>
          <t>bcc</t>
        </is>
      </c>
      <c r="R758" t="inlineStr">
        <is>
          <t xml:space="preserve">HV </t>
        </is>
      </c>
      <c r="S758" t="n">
        <v>4</v>
      </c>
      <c r="T758" t="n">
        <v>4</v>
      </c>
      <c r="U758" t="inlineStr">
        <is>
          <t>2002-10-21</t>
        </is>
      </c>
      <c r="V758" t="inlineStr">
        <is>
          <t>2002-10-21</t>
        </is>
      </c>
      <c r="W758" t="inlineStr">
        <is>
          <t>2001-08-22</t>
        </is>
      </c>
      <c r="X758" t="inlineStr">
        <is>
          <t>2001-08-22</t>
        </is>
      </c>
      <c r="Y758" t="n">
        <v>43</v>
      </c>
      <c r="Z758" t="n">
        <v>11</v>
      </c>
      <c r="AA758" t="n">
        <v>16</v>
      </c>
      <c r="AB758" t="n">
        <v>1</v>
      </c>
      <c r="AC758" t="n">
        <v>1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0</v>
      </c>
      <c r="AM758" t="n">
        <v>0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HYPERLINK("https://creighton-primo.hosted.exlibrisgroup.com/primo-explore/search?tab=default_tab&amp;search_scope=EVERYTHING&amp;vid=01CRU&amp;lang=en_US&amp;offset=0&amp;query=any,contains,991003607929702656","Catalog Record")</f>
        <v/>
      </c>
      <c r="AT758">
        <f>HYPERLINK("http://www.worldcat.org/oclc/29794163","WorldCat Record")</f>
        <v/>
      </c>
      <c r="AU758" t="inlineStr">
        <is>
          <t>41189819:eng</t>
        </is>
      </c>
      <c r="AV758" t="inlineStr">
        <is>
          <t>29794163</t>
        </is>
      </c>
      <c r="AW758" t="inlineStr">
        <is>
          <t>991003607929702656</t>
        </is>
      </c>
      <c r="AX758" t="inlineStr">
        <is>
          <t>991003607929702656</t>
        </is>
      </c>
      <c r="AY758" t="inlineStr">
        <is>
          <t>2257421860002656</t>
        </is>
      </c>
      <c r="AZ758" t="inlineStr">
        <is>
          <t>BOOK</t>
        </is>
      </c>
      <c r="BB758" t="inlineStr">
        <is>
          <t>9781550541212</t>
        </is>
      </c>
      <c r="BC758" t="inlineStr">
        <is>
          <t>32285004379607</t>
        </is>
      </c>
      <c r="BD758" t="inlineStr">
        <is>
          <t>893611220</t>
        </is>
      </c>
    </row>
    <row r="759">
      <c r="A759" t="inlineStr">
        <is>
          <t>No</t>
        </is>
      </c>
      <c r="B759" t="inlineStr">
        <is>
          <t>HV6593.C2 A55 2009</t>
        </is>
      </c>
      <c r="C759" t="inlineStr">
        <is>
          <t>0                      HV 6593000C  2                  A  55          2009</t>
        </is>
      </c>
      <c r="D759" t="inlineStr">
        <is>
          <t>Creating human rights : how noncitizens made sex persecution matter to the world / Lisa S. Alfredson.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K759" t="inlineStr">
        <is>
          <t>Alfredson, Lisa S.</t>
        </is>
      </c>
      <c r="L759" t="inlineStr">
        <is>
          <t>Philadelphia : University of Pennsylvania Press, c2009.</t>
        </is>
      </c>
      <c r="M759" t="inlineStr">
        <is>
          <t>2009</t>
        </is>
      </c>
      <c r="O759" t="inlineStr">
        <is>
          <t>eng</t>
        </is>
      </c>
      <c r="P759" t="inlineStr">
        <is>
          <t>pau</t>
        </is>
      </c>
      <c r="Q759" t="inlineStr">
        <is>
          <t>Pennsylvania studies in human rights</t>
        </is>
      </c>
      <c r="R759" t="inlineStr">
        <is>
          <t xml:space="preserve">HV </t>
        </is>
      </c>
      <c r="S759" t="n">
        <v>1</v>
      </c>
      <c r="T759" t="n">
        <v>1</v>
      </c>
      <c r="U759" t="inlineStr">
        <is>
          <t>2009-09-29</t>
        </is>
      </c>
      <c r="V759" t="inlineStr">
        <is>
          <t>2009-09-29</t>
        </is>
      </c>
      <c r="W759" t="inlineStr">
        <is>
          <t>2009-09-29</t>
        </is>
      </c>
      <c r="X759" t="inlineStr">
        <is>
          <t>2009-09-29</t>
        </is>
      </c>
      <c r="Y759" t="n">
        <v>472</v>
      </c>
      <c r="Z759" t="n">
        <v>390</v>
      </c>
      <c r="AA759" t="n">
        <v>809</v>
      </c>
      <c r="AB759" t="n">
        <v>3</v>
      </c>
      <c r="AC759" t="n">
        <v>6</v>
      </c>
      <c r="AD759" t="n">
        <v>20</v>
      </c>
      <c r="AE759" t="n">
        <v>38</v>
      </c>
      <c r="AF759" t="n">
        <v>9</v>
      </c>
      <c r="AG759" t="n">
        <v>14</v>
      </c>
      <c r="AH759" t="n">
        <v>4</v>
      </c>
      <c r="AI759" t="n">
        <v>8</v>
      </c>
      <c r="AJ759" t="n">
        <v>7</v>
      </c>
      <c r="AK759" t="n">
        <v>15</v>
      </c>
      <c r="AL759" t="n">
        <v>2</v>
      </c>
      <c r="AM759" t="n">
        <v>5</v>
      </c>
      <c r="AN759" t="n">
        <v>1</v>
      </c>
      <c r="AO759" t="n">
        <v>2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HYPERLINK("https://creighton-primo.hosted.exlibrisgroup.com/primo-explore/search?tab=default_tab&amp;search_scope=EVERYTHING&amp;vid=01CRU&amp;lang=en_US&amp;offset=0&amp;query=any,contains,991005336119702656","Catalog Record")</f>
        <v/>
      </c>
      <c r="AT759">
        <f>HYPERLINK("http://www.worldcat.org/oclc/229036116","WorldCat Record")</f>
        <v/>
      </c>
      <c r="AU759" t="inlineStr">
        <is>
          <t>269581834:eng</t>
        </is>
      </c>
      <c r="AV759" t="inlineStr">
        <is>
          <t>229036116</t>
        </is>
      </c>
      <c r="AW759" t="inlineStr">
        <is>
          <t>991005336119702656</t>
        </is>
      </c>
      <c r="AX759" t="inlineStr">
        <is>
          <t>991005336119702656</t>
        </is>
      </c>
      <c r="AY759" t="inlineStr">
        <is>
          <t>2267987070002656</t>
        </is>
      </c>
      <c r="AZ759" t="inlineStr">
        <is>
          <t>BOOK</t>
        </is>
      </c>
      <c r="BB759" t="inlineStr">
        <is>
          <t>9780812241259</t>
        </is>
      </c>
      <c r="BC759" t="inlineStr">
        <is>
          <t>32285005545990</t>
        </is>
      </c>
      <c r="BD759" t="inlineStr">
        <is>
          <t>893808205</t>
        </is>
      </c>
    </row>
    <row r="760">
      <c r="A760" t="inlineStr">
        <is>
          <t>No</t>
        </is>
      </c>
      <c r="B760" t="inlineStr">
        <is>
          <t>HV6593.Z55 M33 2000</t>
        </is>
      </c>
      <c r="C760" t="inlineStr">
        <is>
          <t>0                      HV 6593000Z  55                 M  33          2000</t>
        </is>
      </c>
      <c r="D760" t="inlineStr">
        <is>
          <t>Black peril, white virtue : sexual crime in Southern Rhodesia, 1902-1935 / Jock McCulloch.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McCulloch, Jock, 1945-</t>
        </is>
      </c>
      <c r="L760" t="inlineStr">
        <is>
          <t>Bloomington : Indiana University Press, 2000.</t>
        </is>
      </c>
      <c r="M760" t="inlineStr">
        <is>
          <t>2000</t>
        </is>
      </c>
      <c r="O760" t="inlineStr">
        <is>
          <t>eng</t>
        </is>
      </c>
      <c r="P760" t="inlineStr">
        <is>
          <t>inu</t>
        </is>
      </c>
      <c r="R760" t="inlineStr">
        <is>
          <t xml:space="preserve">HV </t>
        </is>
      </c>
      <c r="S760" t="n">
        <v>1</v>
      </c>
      <c r="T760" t="n">
        <v>1</v>
      </c>
      <c r="U760" t="inlineStr">
        <is>
          <t>2006-04-21</t>
        </is>
      </c>
      <c r="V760" t="inlineStr">
        <is>
          <t>2006-04-21</t>
        </is>
      </c>
      <c r="W760" t="inlineStr">
        <is>
          <t>2006-04-21</t>
        </is>
      </c>
      <c r="X760" t="inlineStr">
        <is>
          <t>2006-04-21</t>
        </is>
      </c>
      <c r="Y760" t="n">
        <v>296</v>
      </c>
      <c r="Z760" t="n">
        <v>222</v>
      </c>
      <c r="AA760" t="n">
        <v>223</v>
      </c>
      <c r="AB760" t="n">
        <v>2</v>
      </c>
      <c r="AC760" t="n">
        <v>2</v>
      </c>
      <c r="AD760" t="n">
        <v>11</v>
      </c>
      <c r="AE760" t="n">
        <v>11</v>
      </c>
      <c r="AF760" t="n">
        <v>3</v>
      </c>
      <c r="AG760" t="n">
        <v>3</v>
      </c>
      <c r="AH760" t="n">
        <v>5</v>
      </c>
      <c r="AI760" t="n">
        <v>5</v>
      </c>
      <c r="AJ760" t="n">
        <v>6</v>
      </c>
      <c r="AK760" t="n">
        <v>6</v>
      </c>
      <c r="AL760" t="n">
        <v>1</v>
      </c>
      <c r="AM760" t="n">
        <v>1</v>
      </c>
      <c r="AN760" t="n">
        <v>0</v>
      </c>
      <c r="AO760" t="n">
        <v>0</v>
      </c>
      <c r="AP760" t="inlineStr">
        <is>
          <t>No</t>
        </is>
      </c>
      <c r="AQ760" t="inlineStr">
        <is>
          <t>No</t>
        </is>
      </c>
      <c r="AS760">
        <f>HYPERLINK("https://creighton-primo.hosted.exlibrisgroup.com/primo-explore/search?tab=default_tab&amp;search_scope=EVERYTHING&amp;vid=01CRU&amp;lang=en_US&amp;offset=0&amp;query=any,contains,991004792179702656","Catalog Record")</f>
        <v/>
      </c>
      <c r="AT760">
        <f>HYPERLINK("http://www.worldcat.org/oclc/42733839","WorldCat Record")</f>
        <v/>
      </c>
      <c r="AU760" t="inlineStr">
        <is>
          <t>44623320:eng</t>
        </is>
      </c>
      <c r="AV760" t="inlineStr">
        <is>
          <t>42733839</t>
        </is>
      </c>
      <c r="AW760" t="inlineStr">
        <is>
          <t>991004792179702656</t>
        </is>
      </c>
      <c r="AX760" t="inlineStr">
        <is>
          <t>991004792179702656</t>
        </is>
      </c>
      <c r="AY760" t="inlineStr">
        <is>
          <t>2258292100002656</t>
        </is>
      </c>
      <c r="AZ760" t="inlineStr">
        <is>
          <t>BOOK</t>
        </is>
      </c>
      <c r="BB760" t="inlineStr">
        <is>
          <t>9780253337283</t>
        </is>
      </c>
      <c r="BC760" t="inlineStr">
        <is>
          <t>32285005064778</t>
        </is>
      </c>
      <c r="BD760" t="inlineStr">
        <is>
          <t>893424193</t>
        </is>
      </c>
    </row>
    <row r="761">
      <c r="A761" t="inlineStr">
        <is>
          <t>No</t>
        </is>
      </c>
      <c r="B761" t="inlineStr">
        <is>
          <t>HV6594 .D86 2002</t>
        </is>
      </c>
      <c r="C761" t="inlineStr">
        <is>
          <t>0                      HV 6594000D  86          2002</t>
        </is>
      </c>
      <c r="D761" t="inlineStr">
        <is>
          <t>Courting disaster : intimate stalking, culture, and criminal justice / Jennifer L. Dunn.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Dunn, Jennifer L., 1957-</t>
        </is>
      </c>
      <c r="L761" t="inlineStr">
        <is>
          <t>New York : Aldine de Gruyter, c2002.</t>
        </is>
      </c>
      <c r="M761" t="inlineStr">
        <is>
          <t>2002</t>
        </is>
      </c>
      <c r="O761" t="inlineStr">
        <is>
          <t>eng</t>
        </is>
      </c>
      <c r="P761" t="inlineStr">
        <is>
          <t>nyu</t>
        </is>
      </c>
      <c r="Q761" t="inlineStr">
        <is>
          <t>Social problems and social issues</t>
        </is>
      </c>
      <c r="R761" t="inlineStr">
        <is>
          <t xml:space="preserve">HV </t>
        </is>
      </c>
      <c r="S761" t="n">
        <v>4</v>
      </c>
      <c r="T761" t="n">
        <v>4</v>
      </c>
      <c r="U761" t="inlineStr">
        <is>
          <t>2003-10-11</t>
        </is>
      </c>
      <c r="V761" t="inlineStr">
        <is>
          <t>2003-10-11</t>
        </is>
      </c>
      <c r="W761" t="inlineStr">
        <is>
          <t>2002-08-05</t>
        </is>
      </c>
      <c r="X761" t="inlineStr">
        <is>
          <t>2002-08-05</t>
        </is>
      </c>
      <c r="Y761" t="n">
        <v>406</v>
      </c>
      <c r="Z761" t="n">
        <v>356</v>
      </c>
      <c r="AA761" t="n">
        <v>786</v>
      </c>
      <c r="AB761" t="n">
        <v>4</v>
      </c>
      <c r="AC761" t="n">
        <v>5</v>
      </c>
      <c r="AD761" t="n">
        <v>24</v>
      </c>
      <c r="AE761" t="n">
        <v>27</v>
      </c>
      <c r="AF761" t="n">
        <v>9</v>
      </c>
      <c r="AG761" t="n">
        <v>10</v>
      </c>
      <c r="AH761" t="n">
        <v>6</v>
      </c>
      <c r="AI761" t="n">
        <v>7</v>
      </c>
      <c r="AJ761" t="n">
        <v>8</v>
      </c>
      <c r="AK761" t="n">
        <v>9</v>
      </c>
      <c r="AL761" t="n">
        <v>3</v>
      </c>
      <c r="AM761" t="n">
        <v>3</v>
      </c>
      <c r="AN761" t="n">
        <v>2</v>
      </c>
      <c r="AO761" t="n">
        <v>2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HYPERLINK("https://creighton-primo.hosted.exlibrisgroup.com/primo-explore/search?tab=default_tab&amp;search_scope=EVERYTHING&amp;vid=01CRU&amp;lang=en_US&amp;offset=0&amp;query=any,contains,991003836319702656","Catalog Record")</f>
        <v/>
      </c>
      <c r="AT761">
        <f>HYPERLINK("http://www.worldcat.org/oclc/48761373","WorldCat Record")</f>
        <v/>
      </c>
      <c r="AU761" t="inlineStr">
        <is>
          <t>800682991:eng</t>
        </is>
      </c>
      <c r="AV761" t="inlineStr">
        <is>
          <t>48761373</t>
        </is>
      </c>
      <c r="AW761" t="inlineStr">
        <is>
          <t>991003836319702656</t>
        </is>
      </c>
      <c r="AX761" t="inlineStr">
        <is>
          <t>991003836319702656</t>
        </is>
      </c>
      <c r="AY761" t="inlineStr">
        <is>
          <t>2257721820002656</t>
        </is>
      </c>
      <c r="AZ761" t="inlineStr">
        <is>
          <t>BOOK</t>
        </is>
      </c>
      <c r="BB761" t="inlineStr">
        <is>
          <t>9780202306612</t>
        </is>
      </c>
      <c r="BC761" t="inlineStr">
        <is>
          <t>32285004641758</t>
        </is>
      </c>
      <c r="BD761" t="inlineStr">
        <is>
          <t>893435508</t>
        </is>
      </c>
    </row>
    <row r="762">
      <c r="A762" t="inlineStr">
        <is>
          <t>No</t>
        </is>
      </c>
      <c r="B762" t="inlineStr">
        <is>
          <t>HV6594 .S72 2002</t>
        </is>
      </c>
      <c r="C762" t="inlineStr">
        <is>
          <t>0                      HV 6594000S  72          2002</t>
        </is>
      </c>
      <c r="D762" t="inlineStr">
        <is>
          <t>Stalking and psychosexual obsession : psychological perspectives for prevention, policing and treatment / edited by Julian Boon and Lorraine Sheridan.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Chichester ; New York : Wiley, c2002.</t>
        </is>
      </c>
      <c r="M762" t="inlineStr">
        <is>
          <t>2002</t>
        </is>
      </c>
      <c r="O762" t="inlineStr">
        <is>
          <t>eng</t>
        </is>
      </c>
      <c r="P762" t="inlineStr">
        <is>
          <t>enk</t>
        </is>
      </c>
      <c r="Q762" t="inlineStr">
        <is>
          <t>Wiley series in the psychology of crime, policing, and law</t>
        </is>
      </c>
      <c r="R762" t="inlineStr">
        <is>
          <t xml:space="preserve">HV </t>
        </is>
      </c>
      <c r="S762" t="n">
        <v>1</v>
      </c>
      <c r="T762" t="n">
        <v>1</v>
      </c>
      <c r="U762" t="inlineStr">
        <is>
          <t>2004-09-27</t>
        </is>
      </c>
      <c r="V762" t="inlineStr">
        <is>
          <t>2004-09-27</t>
        </is>
      </c>
      <c r="W762" t="inlineStr">
        <is>
          <t>2004-03-01</t>
        </is>
      </c>
      <c r="X762" t="inlineStr">
        <is>
          <t>2004-03-01</t>
        </is>
      </c>
      <c r="Y762" t="n">
        <v>354</v>
      </c>
      <c r="Z762" t="n">
        <v>250</v>
      </c>
      <c r="AA762" t="n">
        <v>316</v>
      </c>
      <c r="AB762" t="n">
        <v>2</v>
      </c>
      <c r="AC762" t="n">
        <v>2</v>
      </c>
      <c r="AD762" t="n">
        <v>10</v>
      </c>
      <c r="AE762" t="n">
        <v>11</v>
      </c>
      <c r="AF762" t="n">
        <v>4</v>
      </c>
      <c r="AG762" t="n">
        <v>4</v>
      </c>
      <c r="AH762" t="n">
        <v>3</v>
      </c>
      <c r="AI762" t="n">
        <v>3</v>
      </c>
      <c r="AJ762" t="n">
        <v>5</v>
      </c>
      <c r="AK762" t="n">
        <v>6</v>
      </c>
      <c r="AL762" t="n">
        <v>0</v>
      </c>
      <c r="AM762" t="n">
        <v>0</v>
      </c>
      <c r="AN762" t="n">
        <v>1</v>
      </c>
      <c r="AO762" t="n">
        <v>1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HYPERLINK("http://catalog.hathitrust.org/Record/004257607","HathiTrust Record")</f>
        <v/>
      </c>
      <c r="AS762">
        <f>HYPERLINK("https://creighton-primo.hosted.exlibrisgroup.com/primo-explore/search?tab=default_tab&amp;search_scope=EVERYTHING&amp;vid=01CRU&amp;lang=en_US&amp;offset=0&amp;query=any,contains,991004238389702656","Catalog Record")</f>
        <v/>
      </c>
      <c r="AT762">
        <f>HYPERLINK("http://www.worldcat.org/oclc/50339963","WorldCat Record")</f>
        <v/>
      </c>
      <c r="AU762" t="inlineStr">
        <is>
          <t>793224595:eng</t>
        </is>
      </c>
      <c r="AV762" t="inlineStr">
        <is>
          <t>50339963</t>
        </is>
      </c>
      <c r="AW762" t="inlineStr">
        <is>
          <t>991004238389702656</t>
        </is>
      </c>
      <c r="AX762" t="inlineStr">
        <is>
          <t>991004238389702656</t>
        </is>
      </c>
      <c r="AY762" t="inlineStr">
        <is>
          <t>2255919820002656</t>
        </is>
      </c>
      <c r="AZ762" t="inlineStr">
        <is>
          <t>BOOK</t>
        </is>
      </c>
      <c r="BB762" t="inlineStr">
        <is>
          <t>9780471494584</t>
        </is>
      </c>
      <c r="BC762" t="inlineStr">
        <is>
          <t>32285004891494</t>
        </is>
      </c>
      <c r="BD762" t="inlineStr">
        <is>
          <t>893869467</t>
        </is>
      </c>
    </row>
    <row r="763">
      <c r="A763" t="inlineStr">
        <is>
          <t>No</t>
        </is>
      </c>
      <c r="B763" t="inlineStr">
        <is>
          <t>HV6603.L5 W3</t>
        </is>
      </c>
      <c r="C763" t="inlineStr">
        <is>
          <t>0                      HV 6603000L  5                  W  3</t>
        </is>
      </c>
      <c r="D763" t="inlineStr">
        <is>
          <t>Kidnap : the story of the Lindbergh case.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Waller, George.</t>
        </is>
      </c>
      <c r="L763" t="inlineStr">
        <is>
          <t>New York : Dial Press, 1961.</t>
        </is>
      </c>
      <c r="M763" t="inlineStr">
        <is>
          <t>1961</t>
        </is>
      </c>
      <c r="O763" t="inlineStr">
        <is>
          <t>eng</t>
        </is>
      </c>
      <c r="P763" t="inlineStr">
        <is>
          <t>nyu</t>
        </is>
      </c>
      <c r="R763" t="inlineStr">
        <is>
          <t xml:space="preserve">HV </t>
        </is>
      </c>
      <c r="S763" t="n">
        <v>3</v>
      </c>
      <c r="T763" t="n">
        <v>3</v>
      </c>
      <c r="U763" t="inlineStr">
        <is>
          <t>2007-09-26</t>
        </is>
      </c>
      <c r="V763" t="inlineStr">
        <is>
          <t>2007-09-26</t>
        </is>
      </c>
      <c r="W763" t="inlineStr">
        <is>
          <t>1993-12-08</t>
        </is>
      </c>
      <c r="X763" t="inlineStr">
        <is>
          <t>1993-12-08</t>
        </is>
      </c>
      <c r="Y763" t="n">
        <v>1605</v>
      </c>
      <c r="Z763" t="n">
        <v>1541</v>
      </c>
      <c r="AA763" t="n">
        <v>1584</v>
      </c>
      <c r="AB763" t="n">
        <v>17</v>
      </c>
      <c r="AC763" t="n">
        <v>18</v>
      </c>
      <c r="AD763" t="n">
        <v>45</v>
      </c>
      <c r="AE763" t="n">
        <v>48</v>
      </c>
      <c r="AF763" t="n">
        <v>18</v>
      </c>
      <c r="AG763" t="n">
        <v>19</v>
      </c>
      <c r="AH763" t="n">
        <v>6</v>
      </c>
      <c r="AI763" t="n">
        <v>6</v>
      </c>
      <c r="AJ763" t="n">
        <v>16</v>
      </c>
      <c r="AK763" t="n">
        <v>16</v>
      </c>
      <c r="AL763" t="n">
        <v>7</v>
      </c>
      <c r="AM763" t="n">
        <v>8</v>
      </c>
      <c r="AN763" t="n">
        <v>8</v>
      </c>
      <c r="AO763" t="n">
        <v>9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HYPERLINK("http://catalog.hathitrust.org/Record/001120375","HathiTrust Record")</f>
        <v/>
      </c>
      <c r="AS763">
        <f>HYPERLINK("https://creighton-primo.hosted.exlibrisgroup.com/primo-explore/search?tab=default_tab&amp;search_scope=EVERYTHING&amp;vid=01CRU&amp;lang=en_US&amp;offset=0&amp;query=any,contains,991002116219702656","Catalog Record")</f>
        <v/>
      </c>
      <c r="AT763">
        <f>HYPERLINK("http://www.worldcat.org/oclc/268328","WorldCat Record")</f>
        <v/>
      </c>
      <c r="AU763" t="inlineStr">
        <is>
          <t>1391660:eng</t>
        </is>
      </c>
      <c r="AV763" t="inlineStr">
        <is>
          <t>268328</t>
        </is>
      </c>
      <c r="AW763" t="inlineStr">
        <is>
          <t>991002116219702656</t>
        </is>
      </c>
      <c r="AX763" t="inlineStr">
        <is>
          <t>991002116219702656</t>
        </is>
      </c>
      <c r="AY763" t="inlineStr">
        <is>
          <t>2270492730002656</t>
        </is>
      </c>
      <c r="AZ763" t="inlineStr">
        <is>
          <t>BOOK</t>
        </is>
      </c>
      <c r="BC763" t="inlineStr">
        <is>
          <t>32285001806925</t>
        </is>
      </c>
      <c r="BD763" t="inlineStr">
        <is>
          <t>893516916</t>
        </is>
      </c>
    </row>
    <row r="764">
      <c r="A764" t="inlineStr">
        <is>
          <t>No</t>
        </is>
      </c>
      <c r="B764" t="inlineStr">
        <is>
          <t>HV6603.S63 S63 2003</t>
        </is>
      </c>
      <c r="C764" t="inlineStr">
        <is>
          <t>0                      HV 6603000S  63                 S  63          2003</t>
        </is>
      </c>
      <c r="D764" t="inlineStr">
        <is>
          <t>Bringing Elizabeth home : a journey of faith and hope / Ed and Lois Smart with Laura Morton.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Smart, Ed.</t>
        </is>
      </c>
      <c r="L764" t="inlineStr">
        <is>
          <t>New York : Doubleday, c2003.</t>
        </is>
      </c>
      <c r="M764" t="inlineStr">
        <is>
          <t>2003</t>
        </is>
      </c>
      <c r="N764" t="inlineStr">
        <is>
          <t>1st ed.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HV </t>
        </is>
      </c>
      <c r="S764" t="n">
        <v>2</v>
      </c>
      <c r="T764" t="n">
        <v>2</v>
      </c>
      <c r="U764" t="inlineStr">
        <is>
          <t>2003-12-08</t>
        </is>
      </c>
      <c r="V764" t="inlineStr">
        <is>
          <t>2003-12-08</t>
        </is>
      </c>
      <c r="W764" t="inlineStr">
        <is>
          <t>2003-12-08</t>
        </is>
      </c>
      <c r="X764" t="inlineStr">
        <is>
          <t>2003-12-08</t>
        </is>
      </c>
      <c r="Y764" t="n">
        <v>1504</v>
      </c>
      <c r="Z764" t="n">
        <v>1453</v>
      </c>
      <c r="AA764" t="n">
        <v>1527</v>
      </c>
      <c r="AB764" t="n">
        <v>24</v>
      </c>
      <c r="AC764" t="n">
        <v>25</v>
      </c>
      <c r="AD764" t="n">
        <v>6</v>
      </c>
      <c r="AE764" t="n">
        <v>6</v>
      </c>
      <c r="AF764" t="n">
        <v>3</v>
      </c>
      <c r="AG764" t="n">
        <v>3</v>
      </c>
      <c r="AH764" t="n">
        <v>0</v>
      </c>
      <c r="AI764" t="n">
        <v>0</v>
      </c>
      <c r="AJ764" t="n">
        <v>1</v>
      </c>
      <c r="AK764" t="n">
        <v>1</v>
      </c>
      <c r="AL764" t="n">
        <v>1</v>
      </c>
      <c r="AM764" t="n">
        <v>1</v>
      </c>
      <c r="AN764" t="n">
        <v>1</v>
      </c>
      <c r="AO764" t="n">
        <v>1</v>
      </c>
      <c r="AP764" t="inlineStr">
        <is>
          <t>No</t>
        </is>
      </c>
      <c r="AQ764" t="inlineStr">
        <is>
          <t>No</t>
        </is>
      </c>
      <c r="AS764">
        <f>HYPERLINK("https://creighton-primo.hosted.exlibrisgroup.com/primo-explore/search?tab=default_tab&amp;search_scope=EVERYTHING&amp;vid=01CRU&amp;lang=en_US&amp;offset=0&amp;query=any,contains,991004201009702656","Catalog Record")</f>
        <v/>
      </c>
      <c r="AT764">
        <f>HYPERLINK("http://www.worldcat.org/oclc/53221655","WorldCat Record")</f>
        <v/>
      </c>
      <c r="AU764" t="inlineStr">
        <is>
          <t>647368648:eng</t>
        </is>
      </c>
      <c r="AV764" t="inlineStr">
        <is>
          <t>53221655</t>
        </is>
      </c>
      <c r="AW764" t="inlineStr">
        <is>
          <t>991004201009702656</t>
        </is>
      </c>
      <c r="AX764" t="inlineStr">
        <is>
          <t>991004201009702656</t>
        </is>
      </c>
      <c r="AY764" t="inlineStr">
        <is>
          <t>2262369210002656</t>
        </is>
      </c>
      <c r="AZ764" t="inlineStr">
        <is>
          <t>BOOK</t>
        </is>
      </c>
      <c r="BB764" t="inlineStr">
        <is>
          <t>9780385512145</t>
        </is>
      </c>
      <c r="BC764" t="inlineStr">
        <is>
          <t>32285004845490</t>
        </is>
      </c>
      <c r="BD764" t="inlineStr">
        <is>
          <t>893423501</t>
        </is>
      </c>
    </row>
    <row r="765">
      <c r="A765" t="inlineStr">
        <is>
          <t>No</t>
        </is>
      </c>
      <c r="B765" t="inlineStr">
        <is>
          <t>HV6604.C7 G3713 1997</t>
        </is>
      </c>
      <c r="C765" t="inlineStr">
        <is>
          <t>0                      HV 6604000C  7                  G  3713        1997</t>
        </is>
      </c>
      <c r="D765" t="inlineStr">
        <is>
          <t>News of a kidnapping / Gabriel García Márquez ; translated from the Spanish by Edith Grossman.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García Márquez, Gabriel, 1927-2014.</t>
        </is>
      </c>
      <c r="L765" t="inlineStr">
        <is>
          <t>New York : Knopf, 1997.</t>
        </is>
      </c>
      <c r="M765" t="inlineStr">
        <is>
          <t>1997</t>
        </is>
      </c>
      <c r="N765" t="inlineStr">
        <is>
          <t>1st American ed.</t>
        </is>
      </c>
      <c r="O765" t="inlineStr">
        <is>
          <t>eng</t>
        </is>
      </c>
      <c r="P765" t="inlineStr">
        <is>
          <t>nyu</t>
        </is>
      </c>
      <c r="R765" t="inlineStr">
        <is>
          <t xml:space="preserve">HV </t>
        </is>
      </c>
      <c r="S765" t="n">
        <v>9</v>
      </c>
      <c r="T765" t="n">
        <v>9</v>
      </c>
      <c r="U765" t="inlineStr">
        <is>
          <t>2006-01-29</t>
        </is>
      </c>
      <c r="V765" t="inlineStr">
        <is>
          <t>2006-01-29</t>
        </is>
      </c>
      <c r="W765" t="inlineStr">
        <is>
          <t>1997-06-23</t>
        </is>
      </c>
      <c r="X765" t="inlineStr">
        <is>
          <t>1997-06-23</t>
        </is>
      </c>
      <c r="Y765" t="n">
        <v>1655</v>
      </c>
      <c r="Z765" t="n">
        <v>1561</v>
      </c>
      <c r="AA765" t="n">
        <v>1738</v>
      </c>
      <c r="AB765" t="n">
        <v>9</v>
      </c>
      <c r="AC765" t="n">
        <v>9</v>
      </c>
      <c r="AD765" t="n">
        <v>35</v>
      </c>
      <c r="AE765" t="n">
        <v>39</v>
      </c>
      <c r="AF765" t="n">
        <v>12</v>
      </c>
      <c r="AG765" t="n">
        <v>13</v>
      </c>
      <c r="AH765" t="n">
        <v>9</v>
      </c>
      <c r="AI765" t="n">
        <v>10</v>
      </c>
      <c r="AJ765" t="n">
        <v>14</v>
      </c>
      <c r="AK765" t="n">
        <v>17</v>
      </c>
      <c r="AL765" t="n">
        <v>6</v>
      </c>
      <c r="AM765" t="n">
        <v>6</v>
      </c>
      <c r="AN765" t="n">
        <v>1</v>
      </c>
      <c r="AO765" t="n">
        <v>1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HYPERLINK("http://catalog.hathitrust.org/Record/003183041","HathiTrust Record")</f>
        <v/>
      </c>
      <c r="AS765">
        <f>HYPERLINK("https://creighton-primo.hosted.exlibrisgroup.com/primo-explore/search?tab=default_tab&amp;search_scope=EVERYTHING&amp;vid=01CRU&amp;lang=en_US&amp;offset=0&amp;query=any,contains,991002782289702656","Catalog Record")</f>
        <v/>
      </c>
      <c r="AT765">
        <f>HYPERLINK("http://www.worldcat.org/oclc/36528149","WorldCat Record")</f>
        <v/>
      </c>
      <c r="AU765" t="inlineStr">
        <is>
          <t>533214:eng</t>
        </is>
      </c>
      <c r="AV765" t="inlineStr">
        <is>
          <t>36528149</t>
        </is>
      </c>
      <c r="AW765" t="inlineStr">
        <is>
          <t>991002782289702656</t>
        </is>
      </c>
      <c r="AX765" t="inlineStr">
        <is>
          <t>991002782289702656</t>
        </is>
      </c>
      <c r="AY765" t="inlineStr">
        <is>
          <t>2262741240002656</t>
        </is>
      </c>
      <c r="AZ765" t="inlineStr">
        <is>
          <t>BOOK</t>
        </is>
      </c>
      <c r="BB765" t="inlineStr">
        <is>
          <t>9780375400513</t>
        </is>
      </c>
      <c r="BC765" t="inlineStr">
        <is>
          <t>32285002752946</t>
        </is>
      </c>
      <c r="BD765" t="inlineStr">
        <is>
          <t>893604022</t>
        </is>
      </c>
    </row>
    <row r="766">
      <c r="A766" t="inlineStr">
        <is>
          <t>No</t>
        </is>
      </c>
      <c r="B766" t="inlineStr">
        <is>
          <t>HV6604.C72 G363 2003</t>
        </is>
      </c>
      <c r="C766" t="inlineStr">
        <is>
          <t>0                      HV 6604000C  72                 G  363         2003</t>
        </is>
      </c>
      <c r="D766" t="inlineStr">
        <is>
          <t>Our guerrillas, our sidewalks : a journey into the violence of Colombia / Herbert Braun.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Braun, Herbert, 1948-</t>
        </is>
      </c>
      <c r="L766" t="inlineStr">
        <is>
          <t>Lanham, Md. : Rowman &amp; Littlefield, c2003.</t>
        </is>
      </c>
      <c r="M766" t="inlineStr">
        <is>
          <t>2003</t>
        </is>
      </c>
      <c r="N766" t="inlineStr">
        <is>
          <t>2nd ed.</t>
        </is>
      </c>
      <c r="O766" t="inlineStr">
        <is>
          <t>eng</t>
        </is>
      </c>
      <c r="P766" t="inlineStr">
        <is>
          <t>mdu</t>
        </is>
      </c>
      <c r="R766" t="inlineStr">
        <is>
          <t xml:space="preserve">HV </t>
        </is>
      </c>
      <c r="S766" t="n">
        <v>2</v>
      </c>
      <c r="T766" t="n">
        <v>2</v>
      </c>
      <c r="U766" t="inlineStr">
        <is>
          <t>2005-04-05</t>
        </is>
      </c>
      <c r="V766" t="inlineStr">
        <is>
          <t>2005-04-05</t>
        </is>
      </c>
      <c r="W766" t="inlineStr">
        <is>
          <t>2005-04-05</t>
        </is>
      </c>
      <c r="X766" t="inlineStr">
        <is>
          <t>2005-04-05</t>
        </is>
      </c>
      <c r="Y766" t="n">
        <v>171</v>
      </c>
      <c r="Z766" t="n">
        <v>135</v>
      </c>
      <c r="AA766" t="n">
        <v>527</v>
      </c>
      <c r="AB766" t="n">
        <v>1</v>
      </c>
      <c r="AC766" t="n">
        <v>3</v>
      </c>
      <c r="AD766" t="n">
        <v>10</v>
      </c>
      <c r="AE766" t="n">
        <v>18</v>
      </c>
      <c r="AF766" t="n">
        <v>3</v>
      </c>
      <c r="AG766" t="n">
        <v>7</v>
      </c>
      <c r="AH766" t="n">
        <v>4</v>
      </c>
      <c r="AI766" t="n">
        <v>5</v>
      </c>
      <c r="AJ766" t="n">
        <v>6</v>
      </c>
      <c r="AK766" t="n">
        <v>11</v>
      </c>
      <c r="AL766" t="n">
        <v>0</v>
      </c>
      <c r="AM766" t="n">
        <v>1</v>
      </c>
      <c r="AN766" t="n">
        <v>0</v>
      </c>
      <c r="AO766" t="n">
        <v>0</v>
      </c>
      <c r="AP766" t="inlineStr">
        <is>
          <t>No</t>
        </is>
      </c>
      <c r="AQ766" t="inlineStr">
        <is>
          <t>No</t>
        </is>
      </c>
      <c r="AS766">
        <f>HYPERLINK("https://creighton-primo.hosted.exlibrisgroup.com/primo-explore/search?tab=default_tab&amp;search_scope=EVERYTHING&amp;vid=01CRU&amp;lang=en_US&amp;offset=0&amp;query=any,contains,991004487009702656","Catalog Record")</f>
        <v/>
      </c>
      <c r="AT766">
        <f>HYPERLINK("http://www.worldcat.org/oclc/51271512","WorldCat Record")</f>
        <v/>
      </c>
      <c r="AU766" t="inlineStr">
        <is>
          <t>740058:eng</t>
        </is>
      </c>
      <c r="AV766" t="inlineStr">
        <is>
          <t>51271512</t>
        </is>
      </c>
      <c r="AW766" t="inlineStr">
        <is>
          <t>991004487009702656</t>
        </is>
      </c>
      <c r="AX766" t="inlineStr">
        <is>
          <t>991004487009702656</t>
        </is>
      </c>
      <c r="AY766" t="inlineStr">
        <is>
          <t>2259620580002656</t>
        </is>
      </c>
      <c r="AZ766" t="inlineStr">
        <is>
          <t>BOOK</t>
        </is>
      </c>
      <c r="BB766" t="inlineStr">
        <is>
          <t>9780742518599</t>
        </is>
      </c>
      <c r="BC766" t="inlineStr">
        <is>
          <t>32285005047567</t>
        </is>
      </c>
      <c r="BD766" t="inlineStr">
        <is>
          <t>893712658</t>
        </is>
      </c>
    </row>
    <row r="767">
      <c r="A767" t="inlineStr">
        <is>
          <t>No</t>
        </is>
      </c>
      <c r="B767" t="inlineStr">
        <is>
          <t>HV6625 .D38 2005</t>
        </is>
      </c>
      <c r="C767" t="inlineStr">
        <is>
          <t>0                      HV 6625000D  38          2005</t>
        </is>
      </c>
      <c r="D767" t="inlineStr">
        <is>
          <t>Accounts of innocence : sexual abuse, trauma, and the self / Joseph E. Davis.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Davis, Joseph E.</t>
        </is>
      </c>
      <c r="L767" t="inlineStr">
        <is>
          <t>Chicago : University of Chicago Press, c2005.</t>
        </is>
      </c>
      <c r="M767" t="inlineStr">
        <is>
          <t>2005</t>
        </is>
      </c>
      <c r="O767" t="inlineStr">
        <is>
          <t>eng</t>
        </is>
      </c>
      <c r="P767" t="inlineStr">
        <is>
          <t>ilu</t>
        </is>
      </c>
      <c r="R767" t="inlineStr">
        <is>
          <t xml:space="preserve">HV </t>
        </is>
      </c>
      <c r="S767" t="n">
        <v>1</v>
      </c>
      <c r="T767" t="n">
        <v>1</v>
      </c>
      <c r="U767" t="inlineStr">
        <is>
          <t>2005-09-12</t>
        </is>
      </c>
      <c r="V767" t="inlineStr">
        <is>
          <t>2005-09-12</t>
        </is>
      </c>
      <c r="W767" t="inlineStr">
        <is>
          <t>2005-06-27</t>
        </is>
      </c>
      <c r="X767" t="inlineStr">
        <is>
          <t>2005-06-27</t>
        </is>
      </c>
      <c r="Y767" t="n">
        <v>691</v>
      </c>
      <c r="Z767" t="n">
        <v>603</v>
      </c>
      <c r="AA767" t="n">
        <v>604</v>
      </c>
      <c r="AB767" t="n">
        <v>4</v>
      </c>
      <c r="AC767" t="n">
        <v>4</v>
      </c>
      <c r="AD767" t="n">
        <v>25</v>
      </c>
      <c r="AE767" t="n">
        <v>25</v>
      </c>
      <c r="AF767" t="n">
        <v>13</v>
      </c>
      <c r="AG767" t="n">
        <v>13</v>
      </c>
      <c r="AH767" t="n">
        <v>3</v>
      </c>
      <c r="AI767" t="n">
        <v>3</v>
      </c>
      <c r="AJ767" t="n">
        <v>11</v>
      </c>
      <c r="AK767" t="n">
        <v>11</v>
      </c>
      <c r="AL767" t="n">
        <v>3</v>
      </c>
      <c r="AM767" t="n">
        <v>3</v>
      </c>
      <c r="AN767" t="n">
        <v>1</v>
      </c>
      <c r="AO767" t="n">
        <v>1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HYPERLINK("https://creighton-primo.hosted.exlibrisgroup.com/primo-explore/search?tab=default_tab&amp;search_scope=EVERYTHING&amp;vid=01CRU&amp;lang=en_US&amp;offset=0&amp;query=any,contains,991004589779702656","Catalog Record")</f>
        <v/>
      </c>
      <c r="AT767">
        <f>HYPERLINK("http://www.worldcat.org/oclc/55131511","WorldCat Record")</f>
        <v/>
      </c>
      <c r="AU767" t="inlineStr">
        <is>
          <t>863011343:eng</t>
        </is>
      </c>
      <c r="AV767" t="inlineStr">
        <is>
          <t>55131511</t>
        </is>
      </c>
      <c r="AW767" t="inlineStr">
        <is>
          <t>991004589779702656</t>
        </is>
      </c>
      <c r="AX767" t="inlineStr">
        <is>
          <t>991004589779702656</t>
        </is>
      </c>
      <c r="AY767" t="inlineStr">
        <is>
          <t>2268521110002656</t>
        </is>
      </c>
      <c r="AZ767" t="inlineStr">
        <is>
          <t>BOOK</t>
        </is>
      </c>
      <c r="BB767" t="inlineStr">
        <is>
          <t>9780226137803</t>
        </is>
      </c>
      <c r="BC767" t="inlineStr">
        <is>
          <t>32285005083653</t>
        </is>
      </c>
      <c r="BD767" t="inlineStr">
        <is>
          <t>893519821</t>
        </is>
      </c>
    </row>
    <row r="768">
      <c r="A768" t="inlineStr">
        <is>
          <t>No</t>
        </is>
      </c>
      <c r="B768" t="inlineStr">
        <is>
          <t>HV6626 .B89 1990</t>
        </is>
      </c>
      <c r="C768" t="inlineStr">
        <is>
          <t>0                      HV 6626000B  89          1990</t>
        </is>
      </c>
      <c r="D768" t="inlineStr">
        <is>
          <t>Domestic violence : the criminal justice response / by Eve S. Buzawa, Carl G. Buzawa.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Yes</t>
        </is>
      </c>
      <c r="J768" t="inlineStr">
        <is>
          <t>0</t>
        </is>
      </c>
      <c r="K768" t="inlineStr">
        <is>
          <t>Buzawa, Eva Schlesinger.</t>
        </is>
      </c>
      <c r="L768" t="inlineStr">
        <is>
          <t>Newbury Park, Calif. : Sage Publications, c1990.</t>
        </is>
      </c>
      <c r="M768" t="inlineStr">
        <is>
          <t>1990</t>
        </is>
      </c>
      <c r="O768" t="inlineStr">
        <is>
          <t>eng</t>
        </is>
      </c>
      <c r="P768" t="inlineStr">
        <is>
          <t>cau</t>
        </is>
      </c>
      <c r="Q768" t="inlineStr">
        <is>
          <t>Studies in crime, law, and justice ; v. 6</t>
        </is>
      </c>
      <c r="R768" t="inlineStr">
        <is>
          <t xml:space="preserve">HV </t>
        </is>
      </c>
      <c r="S768" t="n">
        <v>33</v>
      </c>
      <c r="T768" t="n">
        <v>33</v>
      </c>
      <c r="U768" t="inlineStr">
        <is>
          <t>2004-12-06</t>
        </is>
      </c>
      <c r="V768" t="inlineStr">
        <is>
          <t>2004-12-06</t>
        </is>
      </c>
      <c r="W768" t="inlineStr">
        <is>
          <t>1991-06-06</t>
        </is>
      </c>
      <c r="X768" t="inlineStr">
        <is>
          <t>1991-06-06</t>
        </is>
      </c>
      <c r="Y768" t="n">
        <v>518</v>
      </c>
      <c r="Z768" t="n">
        <v>417</v>
      </c>
      <c r="AA768" t="n">
        <v>892</v>
      </c>
      <c r="AB768" t="n">
        <v>4</v>
      </c>
      <c r="AC768" t="n">
        <v>7</v>
      </c>
      <c r="AD768" t="n">
        <v>21</v>
      </c>
      <c r="AE768" t="n">
        <v>43</v>
      </c>
      <c r="AF768" t="n">
        <v>4</v>
      </c>
      <c r="AG768" t="n">
        <v>13</v>
      </c>
      <c r="AH768" t="n">
        <v>2</v>
      </c>
      <c r="AI768" t="n">
        <v>6</v>
      </c>
      <c r="AJ768" t="n">
        <v>7</v>
      </c>
      <c r="AK768" t="n">
        <v>15</v>
      </c>
      <c r="AL768" t="n">
        <v>3</v>
      </c>
      <c r="AM768" t="n">
        <v>5</v>
      </c>
      <c r="AN768" t="n">
        <v>8</v>
      </c>
      <c r="AO768" t="n">
        <v>14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HYPERLINK("http://catalog.hathitrust.org/Record/002371018","HathiTrust Record")</f>
        <v/>
      </c>
      <c r="AS768">
        <f>HYPERLINK("https://creighton-primo.hosted.exlibrisgroup.com/primo-explore/search?tab=default_tab&amp;search_scope=EVERYTHING&amp;vid=01CRU&amp;lang=en_US&amp;offset=0&amp;query=any,contains,991001720509702656","Catalog Record")</f>
        <v/>
      </c>
      <c r="AT768">
        <f>HYPERLINK("http://www.worldcat.org/oclc/21763155","WorldCat Record")</f>
        <v/>
      </c>
      <c r="AU768" t="inlineStr">
        <is>
          <t>4922226337:eng</t>
        </is>
      </c>
      <c r="AV768" t="inlineStr">
        <is>
          <t>21763155</t>
        </is>
      </c>
      <c r="AW768" t="inlineStr">
        <is>
          <t>991001720509702656</t>
        </is>
      </c>
      <c r="AX768" t="inlineStr">
        <is>
          <t>991001720509702656</t>
        </is>
      </c>
      <c r="AY768" t="inlineStr">
        <is>
          <t>2255616380002656</t>
        </is>
      </c>
      <c r="AZ768" t="inlineStr">
        <is>
          <t>BOOK</t>
        </is>
      </c>
      <c r="BB768" t="inlineStr">
        <is>
          <t>9780803935761</t>
        </is>
      </c>
      <c r="BC768" t="inlineStr">
        <is>
          <t>32285000593540</t>
        </is>
      </c>
      <c r="BD768" t="inlineStr">
        <is>
          <t>893433054</t>
        </is>
      </c>
    </row>
    <row r="769">
      <c r="A769" t="inlineStr">
        <is>
          <t>No</t>
        </is>
      </c>
      <c r="B769" t="inlineStr">
        <is>
          <t>HV6626 .D6 1979</t>
        </is>
      </c>
      <c r="C769" t="inlineStr">
        <is>
          <t>0                      HV 6626000D  6           1979</t>
        </is>
      </c>
      <c r="D769" t="inlineStr">
        <is>
          <t>Violence against wives : a case against the patriarchy / R. Emerson Dobash, Russell Dobash.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Dobash, R. Emerson.</t>
        </is>
      </c>
      <c r="L769" t="inlineStr">
        <is>
          <t>New York : Free Press, c1979.</t>
        </is>
      </c>
      <c r="M769" t="inlineStr">
        <is>
          <t>1979</t>
        </is>
      </c>
      <c r="O769" t="inlineStr">
        <is>
          <t>eng</t>
        </is>
      </c>
      <c r="P769" t="inlineStr">
        <is>
          <t>nyu</t>
        </is>
      </c>
      <c r="R769" t="inlineStr">
        <is>
          <t xml:space="preserve">HV </t>
        </is>
      </c>
      <c r="S769" t="n">
        <v>15</v>
      </c>
      <c r="T769" t="n">
        <v>15</v>
      </c>
      <c r="U769" t="inlineStr">
        <is>
          <t>1997-02-10</t>
        </is>
      </c>
      <c r="V769" t="inlineStr">
        <is>
          <t>1997-02-10</t>
        </is>
      </c>
      <c r="W769" t="inlineStr">
        <is>
          <t>1990-06-07</t>
        </is>
      </c>
      <c r="X769" t="inlineStr">
        <is>
          <t>1990-06-07</t>
        </is>
      </c>
      <c r="Y769" t="n">
        <v>1142</v>
      </c>
      <c r="Z769" t="n">
        <v>1003</v>
      </c>
      <c r="AA769" t="n">
        <v>1073</v>
      </c>
      <c r="AB769" t="n">
        <v>10</v>
      </c>
      <c r="AC769" t="n">
        <v>10</v>
      </c>
      <c r="AD769" t="n">
        <v>40</v>
      </c>
      <c r="AE769" t="n">
        <v>41</v>
      </c>
      <c r="AF769" t="n">
        <v>14</v>
      </c>
      <c r="AG769" t="n">
        <v>14</v>
      </c>
      <c r="AH769" t="n">
        <v>9</v>
      </c>
      <c r="AI769" t="n">
        <v>9</v>
      </c>
      <c r="AJ769" t="n">
        <v>15</v>
      </c>
      <c r="AK769" t="n">
        <v>16</v>
      </c>
      <c r="AL769" t="n">
        <v>7</v>
      </c>
      <c r="AM769" t="n">
        <v>7</v>
      </c>
      <c r="AN769" t="n">
        <v>4</v>
      </c>
      <c r="AO769" t="n">
        <v>4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HYPERLINK("http://catalog.hathitrust.org/Record/000017705","HathiTrust Record")</f>
        <v/>
      </c>
      <c r="AS769">
        <f>HYPERLINK("https://creighton-primo.hosted.exlibrisgroup.com/primo-explore/search?tab=default_tab&amp;search_scope=EVERYTHING&amp;vid=01CRU&amp;lang=en_US&amp;offset=0&amp;query=any,contains,991004792849702656","Catalog Record")</f>
        <v/>
      </c>
      <c r="AT769">
        <f>HYPERLINK("http://www.worldcat.org/oclc/5171855","WorldCat Record")</f>
        <v/>
      </c>
      <c r="AU769" t="inlineStr">
        <is>
          <t>3216731:eng</t>
        </is>
      </c>
      <c r="AV769" t="inlineStr">
        <is>
          <t>5171855</t>
        </is>
      </c>
      <c r="AW769" t="inlineStr">
        <is>
          <t>991004792849702656</t>
        </is>
      </c>
      <c r="AX769" t="inlineStr">
        <is>
          <t>991004792849702656</t>
        </is>
      </c>
      <c r="AY769" t="inlineStr">
        <is>
          <t>2259020590002656</t>
        </is>
      </c>
      <c r="AZ769" t="inlineStr">
        <is>
          <t>BOOK</t>
        </is>
      </c>
      <c r="BB769" t="inlineStr">
        <is>
          <t>9780029073209</t>
        </is>
      </c>
      <c r="BC769" t="inlineStr">
        <is>
          <t>32285000183672</t>
        </is>
      </c>
      <c r="BD769" t="inlineStr">
        <is>
          <t>893500971</t>
        </is>
      </c>
    </row>
    <row r="770">
      <c r="A770" t="inlineStr">
        <is>
          <t>No</t>
        </is>
      </c>
      <c r="B770" t="inlineStr">
        <is>
          <t>HV6626 .H5718 2005</t>
        </is>
      </c>
      <c r="C770" t="inlineStr">
        <is>
          <t>0                      HV 6626000H  5718        2005</t>
        </is>
      </c>
      <c r="D770" t="inlineStr">
        <is>
          <t>Femmes sous emprise : les ressorts de la violence dans le couple / Marie-France Hirigoyen.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Hirigoyen, Marie-France.</t>
        </is>
      </c>
      <c r="L770" t="inlineStr">
        <is>
          <t>Paris : Oh! Éditions, 2005.</t>
        </is>
      </c>
      <c r="M770" t="inlineStr">
        <is>
          <t>2005</t>
        </is>
      </c>
      <c r="O770" t="inlineStr">
        <is>
          <t>fre</t>
        </is>
      </c>
      <c r="P770" t="inlineStr">
        <is>
          <t xml:space="preserve">fr </t>
        </is>
      </c>
      <c r="R770" t="inlineStr">
        <is>
          <t xml:space="preserve">HV </t>
        </is>
      </c>
      <c r="S770" t="n">
        <v>1</v>
      </c>
      <c r="T770" t="n">
        <v>1</v>
      </c>
      <c r="U770" t="inlineStr">
        <is>
          <t>2010-06-14</t>
        </is>
      </c>
      <c r="V770" t="inlineStr">
        <is>
          <t>2010-06-14</t>
        </is>
      </c>
      <c r="W770" t="inlineStr">
        <is>
          <t>2010-06-14</t>
        </is>
      </c>
      <c r="X770" t="inlineStr">
        <is>
          <t>2010-06-14</t>
        </is>
      </c>
      <c r="Y770" t="n">
        <v>11</v>
      </c>
      <c r="Z770" t="n">
        <v>3</v>
      </c>
      <c r="AA770" t="n">
        <v>3</v>
      </c>
      <c r="AB770" t="n">
        <v>1</v>
      </c>
      <c r="AC770" t="n">
        <v>1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0</v>
      </c>
      <c r="AM770" t="n">
        <v>0</v>
      </c>
      <c r="AN770" t="n">
        <v>0</v>
      </c>
      <c r="AO770" t="n">
        <v>0</v>
      </c>
      <c r="AP770" t="inlineStr">
        <is>
          <t>No</t>
        </is>
      </c>
      <c r="AQ770" t="inlineStr">
        <is>
          <t>No</t>
        </is>
      </c>
      <c r="AS770">
        <f>HYPERLINK("https://creighton-primo.hosted.exlibrisgroup.com/primo-explore/search?tab=default_tab&amp;search_scope=EVERYTHING&amp;vid=01CRU&amp;lang=en_US&amp;offset=0&amp;query=any,contains,991005393109702656","Catalog Record")</f>
        <v/>
      </c>
      <c r="AT770">
        <f>HYPERLINK("http://www.worldcat.org/oclc/60665652","WorldCat Record")</f>
        <v/>
      </c>
      <c r="AU770" t="inlineStr">
        <is>
          <t>44025382:fre</t>
        </is>
      </c>
      <c r="AV770" t="inlineStr">
        <is>
          <t>60665652</t>
        </is>
      </c>
      <c r="AW770" t="inlineStr">
        <is>
          <t>991005393109702656</t>
        </is>
      </c>
      <c r="AX770" t="inlineStr">
        <is>
          <t>991005393109702656</t>
        </is>
      </c>
      <c r="AY770" t="inlineStr">
        <is>
          <t>2265225120002656</t>
        </is>
      </c>
      <c r="AZ770" t="inlineStr">
        <is>
          <t>BOOK</t>
        </is>
      </c>
      <c r="BB770" t="inlineStr">
        <is>
          <t>9782266157582</t>
        </is>
      </c>
      <c r="BC770" t="inlineStr">
        <is>
          <t>32285005588156</t>
        </is>
      </c>
      <c r="BD770" t="inlineStr">
        <is>
          <t>893514651</t>
        </is>
      </c>
    </row>
    <row r="771">
      <c r="A771" t="inlineStr">
        <is>
          <t>No</t>
        </is>
      </c>
      <c r="B771" t="inlineStr">
        <is>
          <t>HV6626 .H63 1990</t>
        </is>
      </c>
      <c r="C771" t="inlineStr">
        <is>
          <t>0                      HV 6626000H  63          1990</t>
        </is>
      </c>
      <c r="D771" t="inlineStr">
        <is>
          <t>Battered women as survivors / Lee Ann Hoff.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Hoff, Lee Ann.</t>
        </is>
      </c>
      <c r="L771" t="inlineStr">
        <is>
          <t>London ; New York : Routledge, 1990.</t>
        </is>
      </c>
      <c r="M771" t="inlineStr">
        <is>
          <t>1990</t>
        </is>
      </c>
      <c r="O771" t="inlineStr">
        <is>
          <t>eng</t>
        </is>
      </c>
      <c r="P771" t="inlineStr">
        <is>
          <t>enk</t>
        </is>
      </c>
      <c r="R771" t="inlineStr">
        <is>
          <t xml:space="preserve">HV </t>
        </is>
      </c>
      <c r="S771" t="n">
        <v>36</v>
      </c>
      <c r="T771" t="n">
        <v>36</v>
      </c>
      <c r="U771" t="inlineStr">
        <is>
          <t>2002-04-30</t>
        </is>
      </c>
      <c r="V771" t="inlineStr">
        <is>
          <t>2002-04-30</t>
        </is>
      </c>
      <c r="W771" t="inlineStr">
        <is>
          <t>1991-05-13</t>
        </is>
      </c>
      <c r="X771" t="inlineStr">
        <is>
          <t>1991-05-13</t>
        </is>
      </c>
      <c r="Y771" t="n">
        <v>533</v>
      </c>
      <c r="Z771" t="n">
        <v>351</v>
      </c>
      <c r="AA771" t="n">
        <v>375</v>
      </c>
      <c r="AB771" t="n">
        <v>2</v>
      </c>
      <c r="AC771" t="n">
        <v>2</v>
      </c>
      <c r="AD771" t="n">
        <v>18</v>
      </c>
      <c r="AE771" t="n">
        <v>18</v>
      </c>
      <c r="AF771" t="n">
        <v>5</v>
      </c>
      <c r="AG771" t="n">
        <v>5</v>
      </c>
      <c r="AH771" t="n">
        <v>3</v>
      </c>
      <c r="AI771" t="n">
        <v>3</v>
      </c>
      <c r="AJ771" t="n">
        <v>9</v>
      </c>
      <c r="AK771" t="n">
        <v>9</v>
      </c>
      <c r="AL771" t="n">
        <v>1</v>
      </c>
      <c r="AM771" t="n">
        <v>1</v>
      </c>
      <c r="AN771" t="n">
        <v>3</v>
      </c>
      <c r="AO771" t="n">
        <v>3</v>
      </c>
      <c r="AP771" t="inlineStr">
        <is>
          <t>No</t>
        </is>
      </c>
      <c r="AQ771" t="inlineStr">
        <is>
          <t>No</t>
        </is>
      </c>
      <c r="AS771">
        <f>HYPERLINK("https://creighton-primo.hosted.exlibrisgroup.com/primo-explore/search?tab=default_tab&amp;search_scope=EVERYTHING&amp;vid=01CRU&amp;lang=en_US&amp;offset=0&amp;query=any,contains,991001621509702656","Catalog Record")</f>
        <v/>
      </c>
      <c r="AT771">
        <f>HYPERLINK("http://www.worldcat.org/oclc/20825128","WorldCat Record")</f>
        <v/>
      </c>
      <c r="AU771" t="inlineStr">
        <is>
          <t>22415917:eng</t>
        </is>
      </c>
      <c r="AV771" t="inlineStr">
        <is>
          <t>20825128</t>
        </is>
      </c>
      <c r="AW771" t="inlineStr">
        <is>
          <t>991001621509702656</t>
        </is>
      </c>
      <c r="AX771" t="inlineStr">
        <is>
          <t>991001621509702656</t>
        </is>
      </c>
      <c r="AY771" t="inlineStr">
        <is>
          <t>2260637420002656</t>
        </is>
      </c>
      <c r="AZ771" t="inlineStr">
        <is>
          <t>BOOK</t>
        </is>
      </c>
      <c r="BB771" t="inlineStr">
        <is>
          <t>9780415043946</t>
        </is>
      </c>
      <c r="BC771" t="inlineStr">
        <is>
          <t>32285000572668</t>
        </is>
      </c>
      <c r="BD771" t="inlineStr">
        <is>
          <t>893608993</t>
        </is>
      </c>
    </row>
    <row r="772">
      <c r="A772" t="inlineStr">
        <is>
          <t>No</t>
        </is>
      </c>
      <c r="B772" t="inlineStr">
        <is>
          <t>HV6626 .O87 1997</t>
        </is>
      </c>
      <c r="C772" t="inlineStr">
        <is>
          <t>0                      HV 6626000O  87          1997</t>
        </is>
      </c>
      <c r="D772" t="inlineStr">
        <is>
          <t>Out of the darkness : contemporary perspectives on family violence / Glenda Kaufman Kantor, Jana L. Jasinski, editors.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L772" t="inlineStr">
        <is>
          <t>Thousand Oaks, Calif. : Sage Publications, c1997.</t>
        </is>
      </c>
      <c r="M772" t="inlineStr">
        <is>
          <t>1997</t>
        </is>
      </c>
      <c r="O772" t="inlineStr">
        <is>
          <t>eng</t>
        </is>
      </c>
      <c r="P772" t="inlineStr">
        <is>
          <t>cau</t>
        </is>
      </c>
      <c r="R772" t="inlineStr">
        <is>
          <t xml:space="preserve">HV </t>
        </is>
      </c>
      <c r="S772" t="n">
        <v>12</v>
      </c>
      <c r="T772" t="n">
        <v>12</v>
      </c>
      <c r="U772" t="inlineStr">
        <is>
          <t>2002-04-30</t>
        </is>
      </c>
      <c r="V772" t="inlineStr">
        <is>
          <t>2002-04-30</t>
        </is>
      </c>
      <c r="W772" t="inlineStr">
        <is>
          <t>1997-09-05</t>
        </is>
      </c>
      <c r="X772" t="inlineStr">
        <is>
          <t>1997-09-05</t>
        </is>
      </c>
      <c r="Y772" t="n">
        <v>357</v>
      </c>
      <c r="Z772" t="n">
        <v>272</v>
      </c>
      <c r="AA772" t="n">
        <v>359</v>
      </c>
      <c r="AB772" t="n">
        <v>2</v>
      </c>
      <c r="AC772" t="n">
        <v>2</v>
      </c>
      <c r="AD772" t="n">
        <v>18</v>
      </c>
      <c r="AE772" t="n">
        <v>22</v>
      </c>
      <c r="AF772" t="n">
        <v>7</v>
      </c>
      <c r="AG772" t="n">
        <v>7</v>
      </c>
      <c r="AH772" t="n">
        <v>3</v>
      </c>
      <c r="AI772" t="n">
        <v>6</v>
      </c>
      <c r="AJ772" t="n">
        <v>8</v>
      </c>
      <c r="AK772" t="n">
        <v>9</v>
      </c>
      <c r="AL772" t="n">
        <v>1</v>
      </c>
      <c r="AM772" t="n">
        <v>1</v>
      </c>
      <c r="AN772" t="n">
        <v>3</v>
      </c>
      <c r="AO772" t="n">
        <v>3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HYPERLINK("http://catalog.hathitrust.org/Record/004054276","HathiTrust Record")</f>
        <v/>
      </c>
      <c r="AS772">
        <f>HYPERLINK("https://creighton-primo.hosted.exlibrisgroup.com/primo-explore/search?tab=default_tab&amp;search_scope=EVERYTHING&amp;vid=01CRU&amp;lang=en_US&amp;offset=0&amp;query=any,contains,991002813929702656","Catalog Record")</f>
        <v/>
      </c>
      <c r="AT772">
        <f>HYPERLINK("http://www.worldcat.org/oclc/36961093","WorldCat Record")</f>
        <v/>
      </c>
      <c r="AU772" t="inlineStr">
        <is>
          <t>836960995:eng</t>
        </is>
      </c>
      <c r="AV772" t="inlineStr">
        <is>
          <t>36961093</t>
        </is>
      </c>
      <c r="AW772" t="inlineStr">
        <is>
          <t>991002813929702656</t>
        </is>
      </c>
      <c r="AX772" t="inlineStr">
        <is>
          <t>991002813929702656</t>
        </is>
      </c>
      <c r="AY772" t="inlineStr">
        <is>
          <t>2259123220002656</t>
        </is>
      </c>
      <c r="AZ772" t="inlineStr">
        <is>
          <t>BOOK</t>
        </is>
      </c>
      <c r="BB772" t="inlineStr">
        <is>
          <t>9780761907756</t>
        </is>
      </c>
      <c r="BC772" t="inlineStr">
        <is>
          <t>32285003003745</t>
        </is>
      </c>
      <c r="BD772" t="inlineStr">
        <is>
          <t>893880461</t>
        </is>
      </c>
    </row>
    <row r="773">
      <c r="A773" t="inlineStr">
        <is>
          <t>No</t>
        </is>
      </c>
      <c r="B773" t="inlineStr">
        <is>
          <t>HV6626 .P33</t>
        </is>
      </c>
      <c r="C773" t="inlineStr">
        <is>
          <t>0                      HV 6626000P  33</t>
        </is>
      </c>
      <c r="D773" t="inlineStr">
        <is>
          <t>Woman-battering : victims and their experiences / Mildred Daley Pagelow ; foreword by Del Martin.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Pagelow, Mildred Daley.</t>
        </is>
      </c>
      <c r="L773" t="inlineStr">
        <is>
          <t>Beverly Hills : SAGE Publications, c1981.</t>
        </is>
      </c>
      <c r="M773" t="inlineStr">
        <is>
          <t>1981</t>
        </is>
      </c>
      <c r="O773" t="inlineStr">
        <is>
          <t>eng</t>
        </is>
      </c>
      <c r="P773" t="inlineStr">
        <is>
          <t>cau</t>
        </is>
      </c>
      <c r="Q773" t="inlineStr">
        <is>
          <t>Sage library of social research ; 129</t>
        </is>
      </c>
      <c r="R773" t="inlineStr">
        <is>
          <t xml:space="preserve">HV </t>
        </is>
      </c>
      <c r="S773" t="n">
        <v>16</v>
      </c>
      <c r="T773" t="n">
        <v>16</v>
      </c>
      <c r="U773" t="inlineStr">
        <is>
          <t>1997-02-10</t>
        </is>
      </c>
      <c r="V773" t="inlineStr">
        <is>
          <t>1997-02-10</t>
        </is>
      </c>
      <c r="W773" t="inlineStr">
        <is>
          <t>1990-06-07</t>
        </is>
      </c>
      <c r="X773" t="inlineStr">
        <is>
          <t>1990-06-07</t>
        </is>
      </c>
      <c r="Y773" t="n">
        <v>712</v>
      </c>
      <c r="Z773" t="n">
        <v>589</v>
      </c>
      <c r="AA773" t="n">
        <v>595</v>
      </c>
      <c r="AB773" t="n">
        <v>3</v>
      </c>
      <c r="AC773" t="n">
        <v>3</v>
      </c>
      <c r="AD773" t="n">
        <v>29</v>
      </c>
      <c r="AE773" t="n">
        <v>29</v>
      </c>
      <c r="AF773" t="n">
        <v>11</v>
      </c>
      <c r="AG773" t="n">
        <v>11</v>
      </c>
      <c r="AH773" t="n">
        <v>5</v>
      </c>
      <c r="AI773" t="n">
        <v>5</v>
      </c>
      <c r="AJ773" t="n">
        <v>15</v>
      </c>
      <c r="AK773" t="n">
        <v>15</v>
      </c>
      <c r="AL773" t="n">
        <v>2</v>
      </c>
      <c r="AM773" t="n">
        <v>2</v>
      </c>
      <c r="AN773" t="n">
        <v>3</v>
      </c>
      <c r="AO773" t="n">
        <v>3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HYPERLINK("http://catalog.hathitrust.org/Record/000222763","HathiTrust Record")</f>
        <v/>
      </c>
      <c r="AS773">
        <f>HYPERLINK("https://creighton-primo.hosted.exlibrisgroup.com/primo-explore/search?tab=default_tab&amp;search_scope=EVERYTHING&amp;vid=01CRU&amp;lang=en_US&amp;offset=0&amp;query=any,contains,991005141179702656","Catalog Record")</f>
        <v/>
      </c>
      <c r="AT773">
        <f>HYPERLINK("http://www.worldcat.org/oclc/7614467","WorldCat Record")</f>
        <v/>
      </c>
      <c r="AU773" t="inlineStr">
        <is>
          <t>836674922:eng</t>
        </is>
      </c>
      <c r="AV773" t="inlineStr">
        <is>
          <t>7614467</t>
        </is>
      </c>
      <c r="AW773" t="inlineStr">
        <is>
          <t>991005141179702656</t>
        </is>
      </c>
      <c r="AX773" t="inlineStr">
        <is>
          <t>991005141179702656</t>
        </is>
      </c>
      <c r="AY773" t="inlineStr">
        <is>
          <t>2264283060002656</t>
        </is>
      </c>
      <c r="AZ773" t="inlineStr">
        <is>
          <t>BOOK</t>
        </is>
      </c>
      <c r="BB773" t="inlineStr">
        <is>
          <t>9780803916814</t>
        </is>
      </c>
      <c r="BC773" t="inlineStr">
        <is>
          <t>32285000183680</t>
        </is>
      </c>
      <c r="BD773" t="inlineStr">
        <is>
          <t>893344709</t>
        </is>
      </c>
    </row>
    <row r="774">
      <c r="A774" t="inlineStr">
        <is>
          <t>No</t>
        </is>
      </c>
      <c r="B774" t="inlineStr">
        <is>
          <t>HV6626 .P365 2007</t>
        </is>
      </c>
      <c r="C774" t="inlineStr">
        <is>
          <t>0                      HV 6626000P  365         2007</t>
        </is>
      </c>
      <c r="D774" t="inlineStr">
        <is>
          <t>Parenting by men who batter : new directions for assessment and intervention / edited by Jeffrey L. Edleson, Oliver J. Williams.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L774" t="inlineStr">
        <is>
          <t>Oxford ; New York : Oxford University Press, 2007.</t>
        </is>
      </c>
      <c r="M774" t="inlineStr">
        <is>
          <t>2007</t>
        </is>
      </c>
      <c r="O774" t="inlineStr">
        <is>
          <t>eng</t>
        </is>
      </c>
      <c r="P774" t="inlineStr">
        <is>
          <t>enk</t>
        </is>
      </c>
      <c r="Q774" t="inlineStr">
        <is>
          <t>Interpersonal violence</t>
        </is>
      </c>
      <c r="R774" t="inlineStr">
        <is>
          <t xml:space="preserve">HV </t>
        </is>
      </c>
      <c r="S774" t="n">
        <v>2</v>
      </c>
      <c r="T774" t="n">
        <v>2</v>
      </c>
      <c r="U774" t="inlineStr">
        <is>
          <t>2007-11-09</t>
        </is>
      </c>
      <c r="V774" t="inlineStr">
        <is>
          <t>2007-11-09</t>
        </is>
      </c>
      <c r="W774" t="inlineStr">
        <is>
          <t>2007-04-02</t>
        </is>
      </c>
      <c r="X774" t="inlineStr">
        <is>
          <t>2007-04-02</t>
        </is>
      </c>
      <c r="Y774" t="n">
        <v>312</v>
      </c>
      <c r="Z774" t="n">
        <v>244</v>
      </c>
      <c r="AA774" t="n">
        <v>327</v>
      </c>
      <c r="AB774" t="n">
        <v>2</v>
      </c>
      <c r="AC774" t="n">
        <v>4</v>
      </c>
      <c r="AD774" t="n">
        <v>16</v>
      </c>
      <c r="AE774" t="n">
        <v>21</v>
      </c>
      <c r="AF774" t="n">
        <v>5</v>
      </c>
      <c r="AG774" t="n">
        <v>6</v>
      </c>
      <c r="AH774" t="n">
        <v>4</v>
      </c>
      <c r="AI774" t="n">
        <v>6</v>
      </c>
      <c r="AJ774" t="n">
        <v>6</v>
      </c>
      <c r="AK774" t="n">
        <v>7</v>
      </c>
      <c r="AL774" t="n">
        <v>1</v>
      </c>
      <c r="AM774" t="n">
        <v>3</v>
      </c>
      <c r="AN774" t="n">
        <v>3</v>
      </c>
      <c r="AO774" t="n">
        <v>3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HYPERLINK("http://catalog.hathitrust.org/Record/005406879","HathiTrust Record")</f>
        <v/>
      </c>
      <c r="AS774">
        <f>HYPERLINK("https://creighton-primo.hosted.exlibrisgroup.com/primo-explore/search?tab=default_tab&amp;search_scope=EVERYTHING&amp;vid=01CRU&amp;lang=en_US&amp;offset=0&amp;query=any,contains,991005061349702656","Catalog Record")</f>
        <v/>
      </c>
      <c r="AT774">
        <f>HYPERLINK("http://www.worldcat.org/oclc/65978492","WorldCat Record")</f>
        <v/>
      </c>
      <c r="AU774" t="inlineStr">
        <is>
          <t>1044433299:eng</t>
        </is>
      </c>
      <c r="AV774" t="inlineStr">
        <is>
          <t>65978492</t>
        </is>
      </c>
      <c r="AW774" t="inlineStr">
        <is>
          <t>991005061349702656</t>
        </is>
      </c>
      <c r="AX774" t="inlineStr">
        <is>
          <t>991005061349702656</t>
        </is>
      </c>
      <c r="AY774" t="inlineStr">
        <is>
          <t>2263305580002656</t>
        </is>
      </c>
      <c r="AZ774" t="inlineStr">
        <is>
          <t>BOOK</t>
        </is>
      </c>
      <c r="BB774" t="inlineStr">
        <is>
          <t>9780195309034</t>
        </is>
      </c>
      <c r="BC774" t="inlineStr">
        <is>
          <t>32285005284996</t>
        </is>
      </c>
      <c r="BD774" t="inlineStr">
        <is>
          <t>893430774</t>
        </is>
      </c>
    </row>
    <row r="775">
      <c r="A775" t="inlineStr">
        <is>
          <t>No</t>
        </is>
      </c>
      <c r="B775" t="inlineStr">
        <is>
          <t>HV6626 .P45 1993</t>
        </is>
      </c>
      <c r="C775" t="inlineStr">
        <is>
          <t>0                      HV 6626000P  45          1993</t>
        </is>
      </c>
      <c r="D775" t="inlineStr">
        <is>
          <t>Education groups for men who batter : the Duluth model / Ellen Pence, Michael Paymar, with contributions by Tineke Ritmeester, Melanie Shepard.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Pence, Ellen.</t>
        </is>
      </c>
      <c r="L775" t="inlineStr">
        <is>
          <t>New York : Springer Pub. Co., c1993.</t>
        </is>
      </c>
      <c r="M775" t="inlineStr">
        <is>
          <t>1993</t>
        </is>
      </c>
      <c r="O775" t="inlineStr">
        <is>
          <t>eng</t>
        </is>
      </c>
      <c r="P775" t="inlineStr">
        <is>
          <t>nyu</t>
        </is>
      </c>
      <c r="R775" t="inlineStr">
        <is>
          <t xml:space="preserve">HV </t>
        </is>
      </c>
      <c r="S775" t="n">
        <v>2</v>
      </c>
      <c r="T775" t="n">
        <v>2</v>
      </c>
      <c r="U775" t="inlineStr">
        <is>
          <t>2009-04-20</t>
        </is>
      </c>
      <c r="V775" t="inlineStr">
        <is>
          <t>2009-04-20</t>
        </is>
      </c>
      <c r="W775" t="inlineStr">
        <is>
          <t>2004-12-06</t>
        </is>
      </c>
      <c r="X775" t="inlineStr">
        <is>
          <t>2004-12-06</t>
        </is>
      </c>
      <c r="Y775" t="n">
        <v>361</v>
      </c>
      <c r="Z775" t="n">
        <v>296</v>
      </c>
      <c r="AA775" t="n">
        <v>313</v>
      </c>
      <c r="AB775" t="n">
        <v>3</v>
      </c>
      <c r="AC775" t="n">
        <v>3</v>
      </c>
      <c r="AD775" t="n">
        <v>12</v>
      </c>
      <c r="AE775" t="n">
        <v>12</v>
      </c>
      <c r="AF775" t="n">
        <v>5</v>
      </c>
      <c r="AG775" t="n">
        <v>5</v>
      </c>
      <c r="AH775" t="n">
        <v>1</v>
      </c>
      <c r="AI775" t="n">
        <v>1</v>
      </c>
      <c r="AJ775" t="n">
        <v>6</v>
      </c>
      <c r="AK775" t="n">
        <v>6</v>
      </c>
      <c r="AL775" t="n">
        <v>2</v>
      </c>
      <c r="AM775" t="n">
        <v>2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HYPERLINK("https://creighton-primo.hosted.exlibrisgroup.com/primo-explore/search?tab=default_tab&amp;search_scope=EVERYTHING&amp;vid=01CRU&amp;lang=en_US&amp;offset=0&amp;query=any,contains,991004424349702656","Catalog Record")</f>
        <v/>
      </c>
      <c r="AT775">
        <f>HYPERLINK("http://www.worldcat.org/oclc/26973873","WorldCat Record")</f>
        <v/>
      </c>
      <c r="AU775" t="inlineStr">
        <is>
          <t>803290419:eng</t>
        </is>
      </c>
      <c r="AV775" t="inlineStr">
        <is>
          <t>26973873</t>
        </is>
      </c>
      <c r="AW775" t="inlineStr">
        <is>
          <t>991004424349702656</t>
        </is>
      </c>
      <c r="AX775" t="inlineStr">
        <is>
          <t>991004424349702656</t>
        </is>
      </c>
      <c r="AY775" t="inlineStr">
        <is>
          <t>2255011130002656</t>
        </is>
      </c>
      <c r="AZ775" t="inlineStr">
        <is>
          <t>BOOK</t>
        </is>
      </c>
      <c r="BB775" t="inlineStr">
        <is>
          <t>9780826179906</t>
        </is>
      </c>
      <c r="BC775" t="inlineStr">
        <is>
          <t>32285005015200</t>
        </is>
      </c>
      <c r="BD775" t="inlineStr">
        <is>
          <t>893535985</t>
        </is>
      </c>
    </row>
    <row r="776">
      <c r="A776" t="inlineStr">
        <is>
          <t>No</t>
        </is>
      </c>
      <c r="B776" t="inlineStr">
        <is>
          <t>HV6626 .P58 1977</t>
        </is>
      </c>
      <c r="C776" t="inlineStr">
        <is>
          <t>0                      HV 6626000P  58          1977</t>
        </is>
      </c>
      <c r="D776" t="inlineStr">
        <is>
          <t>Scream quietly or the neighbors will hear / Erin Pizzey.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Pizzey, Erin, 1939-</t>
        </is>
      </c>
      <c r="L776" t="inlineStr">
        <is>
          <t>Short Hills, N.J. : R. Enslow Publishers, c1977.</t>
        </is>
      </c>
      <c r="M776" t="inlineStr">
        <is>
          <t>1977</t>
        </is>
      </c>
      <c r="O776" t="inlineStr">
        <is>
          <t>eng</t>
        </is>
      </c>
      <c r="P776" t="inlineStr">
        <is>
          <t>nju</t>
        </is>
      </c>
      <c r="R776" t="inlineStr">
        <is>
          <t xml:space="preserve">HV </t>
        </is>
      </c>
      <c r="S776" t="n">
        <v>16</v>
      </c>
      <c r="T776" t="n">
        <v>16</v>
      </c>
      <c r="U776" t="inlineStr">
        <is>
          <t>2001-11-29</t>
        </is>
      </c>
      <c r="V776" t="inlineStr">
        <is>
          <t>2001-11-29</t>
        </is>
      </c>
      <c r="W776" t="inlineStr">
        <is>
          <t>1991-12-13</t>
        </is>
      </c>
      <c r="X776" t="inlineStr">
        <is>
          <t>1991-12-13</t>
        </is>
      </c>
      <c r="Y776" t="n">
        <v>606</v>
      </c>
      <c r="Z776" t="n">
        <v>564</v>
      </c>
      <c r="AA776" t="n">
        <v>593</v>
      </c>
      <c r="AB776" t="n">
        <v>6</v>
      </c>
      <c r="AC776" t="n">
        <v>7</v>
      </c>
      <c r="AD776" t="n">
        <v>20</v>
      </c>
      <c r="AE776" t="n">
        <v>22</v>
      </c>
      <c r="AF776" t="n">
        <v>9</v>
      </c>
      <c r="AG776" t="n">
        <v>10</v>
      </c>
      <c r="AH776" t="n">
        <v>4</v>
      </c>
      <c r="AI776" t="n">
        <v>4</v>
      </c>
      <c r="AJ776" t="n">
        <v>7</v>
      </c>
      <c r="AK776" t="n">
        <v>8</v>
      </c>
      <c r="AL776" t="n">
        <v>4</v>
      </c>
      <c r="AM776" t="n">
        <v>5</v>
      </c>
      <c r="AN776" t="n">
        <v>1</v>
      </c>
      <c r="AO776" t="n">
        <v>1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HYPERLINK("https://creighton-primo.hosted.exlibrisgroup.com/primo-explore/search?tab=default_tab&amp;search_scope=EVERYTHING&amp;vid=01CRU&amp;lang=en_US&amp;offset=0&amp;query=any,contains,991004313499702656","Catalog Record")</f>
        <v/>
      </c>
      <c r="AT776">
        <f>HYPERLINK("http://www.worldcat.org/oclc/3002278","WorldCat Record")</f>
        <v/>
      </c>
      <c r="AU776" t="inlineStr">
        <is>
          <t>2133904:eng</t>
        </is>
      </c>
      <c r="AV776" t="inlineStr">
        <is>
          <t>3002278</t>
        </is>
      </c>
      <c r="AW776" t="inlineStr">
        <is>
          <t>991004313499702656</t>
        </is>
      </c>
      <c r="AX776" t="inlineStr">
        <is>
          <t>991004313499702656</t>
        </is>
      </c>
      <c r="AY776" t="inlineStr">
        <is>
          <t>2272222270002656</t>
        </is>
      </c>
      <c r="AZ776" t="inlineStr">
        <is>
          <t>BOOK</t>
        </is>
      </c>
      <c r="BB776" t="inlineStr">
        <is>
          <t>9780894900051</t>
        </is>
      </c>
      <c r="BC776" t="inlineStr">
        <is>
          <t>32285000877984</t>
        </is>
      </c>
      <c r="BD776" t="inlineStr">
        <is>
          <t>893442472</t>
        </is>
      </c>
    </row>
    <row r="777">
      <c r="A777" t="inlineStr">
        <is>
          <t>No</t>
        </is>
      </c>
      <c r="B777" t="inlineStr">
        <is>
          <t>HV6626 .W347 1989</t>
        </is>
      </c>
      <c r="C777" t="inlineStr">
        <is>
          <t>0                      HV 6626000W  347         1989</t>
        </is>
      </c>
      <c r="D777" t="inlineStr">
        <is>
          <t>Terrifying love : why battered women kill and how society responds / Lenore E. Walker.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Walker, Lenore E.</t>
        </is>
      </c>
      <c r="L777" t="inlineStr">
        <is>
          <t>New York : Harper &amp; Row, c1989.</t>
        </is>
      </c>
      <c r="M777" t="inlineStr">
        <is>
          <t>1989</t>
        </is>
      </c>
      <c r="N777" t="inlineStr">
        <is>
          <t>1st ed.</t>
        </is>
      </c>
      <c r="O777" t="inlineStr">
        <is>
          <t>eng</t>
        </is>
      </c>
      <c r="P777" t="inlineStr">
        <is>
          <t>nyu</t>
        </is>
      </c>
      <c r="R777" t="inlineStr">
        <is>
          <t xml:space="preserve">HV </t>
        </is>
      </c>
      <c r="S777" t="n">
        <v>17</v>
      </c>
      <c r="T777" t="n">
        <v>17</v>
      </c>
      <c r="U777" t="inlineStr">
        <is>
          <t>2002-02-27</t>
        </is>
      </c>
      <c r="V777" t="inlineStr">
        <is>
          <t>2002-02-27</t>
        </is>
      </c>
      <c r="W777" t="inlineStr">
        <is>
          <t>1990-11-27</t>
        </is>
      </c>
      <c r="X777" t="inlineStr">
        <is>
          <t>1990-11-27</t>
        </is>
      </c>
      <c r="Y777" t="n">
        <v>1146</v>
      </c>
      <c r="Z777" t="n">
        <v>1072</v>
      </c>
      <c r="AA777" t="n">
        <v>1250</v>
      </c>
      <c r="AB777" t="n">
        <v>6</v>
      </c>
      <c r="AC777" t="n">
        <v>7</v>
      </c>
      <c r="AD777" t="n">
        <v>32</v>
      </c>
      <c r="AE777" t="n">
        <v>36</v>
      </c>
      <c r="AF777" t="n">
        <v>9</v>
      </c>
      <c r="AG777" t="n">
        <v>9</v>
      </c>
      <c r="AH777" t="n">
        <v>8</v>
      </c>
      <c r="AI777" t="n">
        <v>8</v>
      </c>
      <c r="AJ777" t="n">
        <v>10</v>
      </c>
      <c r="AK777" t="n">
        <v>13</v>
      </c>
      <c r="AL777" t="n">
        <v>4</v>
      </c>
      <c r="AM777" t="n">
        <v>4</v>
      </c>
      <c r="AN777" t="n">
        <v>8</v>
      </c>
      <c r="AO777" t="n">
        <v>9</v>
      </c>
      <c r="AP777" t="inlineStr">
        <is>
          <t>No</t>
        </is>
      </c>
      <c r="AQ777" t="inlineStr">
        <is>
          <t>No</t>
        </is>
      </c>
      <c r="AS777">
        <f>HYPERLINK("https://creighton-primo.hosted.exlibrisgroup.com/primo-explore/search?tab=default_tab&amp;search_scope=EVERYTHING&amp;vid=01CRU&amp;lang=en_US&amp;offset=0&amp;query=any,contains,991001503009702656","Catalog Record")</f>
        <v/>
      </c>
      <c r="AT777">
        <f>HYPERLINK("http://www.worldcat.org/oclc/19814520","WorldCat Record")</f>
        <v/>
      </c>
      <c r="AU777" t="inlineStr">
        <is>
          <t>21355744:eng</t>
        </is>
      </c>
      <c r="AV777" t="inlineStr">
        <is>
          <t>19814520</t>
        </is>
      </c>
      <c r="AW777" t="inlineStr">
        <is>
          <t>991001503009702656</t>
        </is>
      </c>
      <c r="AX777" t="inlineStr">
        <is>
          <t>991001503009702656</t>
        </is>
      </c>
      <c r="AY777" t="inlineStr">
        <is>
          <t>2268038220002656</t>
        </is>
      </c>
      <c r="AZ777" t="inlineStr">
        <is>
          <t>BOOK</t>
        </is>
      </c>
      <c r="BB777" t="inlineStr">
        <is>
          <t>9780060161606</t>
        </is>
      </c>
      <c r="BC777" t="inlineStr">
        <is>
          <t>32285000357250</t>
        </is>
      </c>
      <c r="BD777" t="inlineStr">
        <is>
          <t>893684366</t>
        </is>
      </c>
    </row>
    <row r="778">
      <c r="A778" t="inlineStr">
        <is>
          <t>No</t>
        </is>
      </c>
      <c r="B778" t="inlineStr">
        <is>
          <t>HV6626 .W35 1990</t>
        </is>
      </c>
      <c r="C778" t="inlineStr">
        <is>
          <t>0                      HV 6626000W  35          1990</t>
        </is>
      </c>
      <c r="D778" t="inlineStr">
        <is>
          <t>Family violence and the women's movement : the conceptual politics of struggle / Gillian A. Walker.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Walker, Gillian.</t>
        </is>
      </c>
      <c r="L778" t="inlineStr">
        <is>
          <t>Toronto : University of Toronto Press, c1990.</t>
        </is>
      </c>
      <c r="M778" t="inlineStr">
        <is>
          <t>1990</t>
        </is>
      </c>
      <c r="O778" t="inlineStr">
        <is>
          <t>eng</t>
        </is>
      </c>
      <c r="P778" t="inlineStr">
        <is>
          <t>onc</t>
        </is>
      </c>
      <c r="R778" t="inlineStr">
        <is>
          <t xml:space="preserve">HV </t>
        </is>
      </c>
      <c r="S778" t="n">
        <v>19</v>
      </c>
      <c r="T778" t="n">
        <v>19</v>
      </c>
      <c r="U778" t="inlineStr">
        <is>
          <t>2001-11-28</t>
        </is>
      </c>
      <c r="V778" t="inlineStr">
        <is>
          <t>2001-11-28</t>
        </is>
      </c>
      <c r="W778" t="inlineStr">
        <is>
          <t>1991-03-14</t>
        </is>
      </c>
      <c r="X778" t="inlineStr">
        <is>
          <t>1991-03-14</t>
        </is>
      </c>
      <c r="Y778" t="n">
        <v>449</v>
      </c>
      <c r="Z778" t="n">
        <v>335</v>
      </c>
      <c r="AA778" t="n">
        <v>391</v>
      </c>
      <c r="AB778" t="n">
        <v>5</v>
      </c>
      <c r="AC778" t="n">
        <v>5</v>
      </c>
      <c r="AD778" t="n">
        <v>20</v>
      </c>
      <c r="AE778" t="n">
        <v>25</v>
      </c>
      <c r="AF778" t="n">
        <v>4</v>
      </c>
      <c r="AG778" t="n">
        <v>9</v>
      </c>
      <c r="AH778" t="n">
        <v>4</v>
      </c>
      <c r="AI778" t="n">
        <v>5</v>
      </c>
      <c r="AJ778" t="n">
        <v>11</v>
      </c>
      <c r="AK778" t="n">
        <v>12</v>
      </c>
      <c r="AL778" t="n">
        <v>4</v>
      </c>
      <c r="AM778" t="n">
        <v>4</v>
      </c>
      <c r="AN778" t="n">
        <v>3</v>
      </c>
      <c r="AO778" t="n">
        <v>3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HYPERLINK("https://creighton-primo.hosted.exlibrisgroup.com/primo-explore/search?tab=default_tab&amp;search_scope=EVERYTHING&amp;vid=01CRU&amp;lang=en_US&amp;offset=0&amp;query=any,contains,991001715349702656","Catalog Record")</f>
        <v/>
      </c>
      <c r="AT778">
        <f>HYPERLINK("http://www.worldcat.org/oclc/27816008","WorldCat Record")</f>
        <v/>
      </c>
      <c r="AU778" t="inlineStr">
        <is>
          <t>889591186:eng</t>
        </is>
      </c>
      <c r="AV778" t="inlineStr">
        <is>
          <t>27816008</t>
        </is>
      </c>
      <c r="AW778" t="inlineStr">
        <is>
          <t>991001715349702656</t>
        </is>
      </c>
      <c r="AX778" t="inlineStr">
        <is>
          <t>991001715349702656</t>
        </is>
      </c>
      <c r="AY778" t="inlineStr">
        <is>
          <t>2263686680002656</t>
        </is>
      </c>
      <c r="AZ778" t="inlineStr">
        <is>
          <t>BOOK</t>
        </is>
      </c>
      <c r="BB778" t="inlineStr">
        <is>
          <t>9780802027405</t>
        </is>
      </c>
      <c r="BC778" t="inlineStr">
        <is>
          <t>32285000512193</t>
        </is>
      </c>
      <c r="BD778" t="inlineStr">
        <is>
          <t>893516425</t>
        </is>
      </c>
    </row>
    <row r="779">
      <c r="A779" t="inlineStr">
        <is>
          <t>No</t>
        </is>
      </c>
      <c r="B779" t="inlineStr">
        <is>
          <t>HV6626 .W44 2000</t>
        </is>
      </c>
      <c r="C779" t="inlineStr">
        <is>
          <t>0                      HV 6626000W  44          2000</t>
        </is>
      </c>
      <c r="D779" t="inlineStr">
        <is>
          <t>Domestic violence 2000 : an integrated skills program for men : group leader's manual / David B. Wexler.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Wexler, David B., 1953-</t>
        </is>
      </c>
      <c r="L779" t="inlineStr">
        <is>
          <t>New York : W.W. Norton, 1999.</t>
        </is>
      </c>
      <c r="M779" t="inlineStr">
        <is>
          <t>1999</t>
        </is>
      </c>
      <c r="O779" t="inlineStr">
        <is>
          <t>eng</t>
        </is>
      </c>
      <c r="P779" t="inlineStr">
        <is>
          <t>nyu</t>
        </is>
      </c>
      <c r="R779" t="inlineStr">
        <is>
          <t xml:space="preserve">HV </t>
        </is>
      </c>
      <c r="S779" t="n">
        <v>7</v>
      </c>
      <c r="T779" t="n">
        <v>7</v>
      </c>
      <c r="U779" t="inlineStr">
        <is>
          <t>2003-12-06</t>
        </is>
      </c>
      <c r="V779" t="inlineStr">
        <is>
          <t>2003-12-06</t>
        </is>
      </c>
      <c r="W779" t="inlineStr">
        <is>
          <t>2000-02-10</t>
        </is>
      </c>
      <c r="X779" t="inlineStr">
        <is>
          <t>2000-02-10</t>
        </is>
      </c>
      <c r="Y779" t="n">
        <v>92</v>
      </c>
      <c r="Z779" t="n">
        <v>78</v>
      </c>
      <c r="AA779" t="n">
        <v>79</v>
      </c>
      <c r="AB779" t="n">
        <v>1</v>
      </c>
      <c r="AC779" t="n">
        <v>1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0</v>
      </c>
      <c r="AM779" t="n">
        <v>0</v>
      </c>
      <c r="AN779" t="n">
        <v>0</v>
      </c>
      <c r="AO779" t="n">
        <v>0</v>
      </c>
      <c r="AP779" t="inlineStr">
        <is>
          <t>No</t>
        </is>
      </c>
      <c r="AQ779" t="inlineStr">
        <is>
          <t>No</t>
        </is>
      </c>
      <c r="AS779">
        <f>HYPERLINK("https://creighton-primo.hosted.exlibrisgroup.com/primo-explore/search?tab=default_tab&amp;search_scope=EVERYTHING&amp;vid=01CRU&amp;lang=en_US&amp;offset=0&amp;query=any,contains,991003026449702656","Catalog Record")</f>
        <v/>
      </c>
      <c r="AT779">
        <f>HYPERLINK("http://www.worldcat.org/oclc/41347095","WorldCat Record")</f>
        <v/>
      </c>
      <c r="AU779" t="inlineStr">
        <is>
          <t>225743414:eng</t>
        </is>
      </c>
      <c r="AV779" t="inlineStr">
        <is>
          <t>41347095</t>
        </is>
      </c>
      <c r="AW779" t="inlineStr">
        <is>
          <t>991003026449702656</t>
        </is>
      </c>
      <c r="AX779" t="inlineStr">
        <is>
          <t>991003026449702656</t>
        </is>
      </c>
      <c r="AY779" t="inlineStr">
        <is>
          <t>2262912200002656</t>
        </is>
      </c>
      <c r="AZ779" t="inlineStr">
        <is>
          <t>BOOK</t>
        </is>
      </c>
      <c r="BB779" t="inlineStr">
        <is>
          <t>9780393703146</t>
        </is>
      </c>
      <c r="BC779" t="inlineStr">
        <is>
          <t>32285003647459</t>
        </is>
      </c>
      <c r="BD779" t="inlineStr">
        <is>
          <t>893422093</t>
        </is>
      </c>
    </row>
    <row r="780">
      <c r="A780" t="inlineStr">
        <is>
          <t>No</t>
        </is>
      </c>
      <c r="B780" t="inlineStr">
        <is>
          <t>HV6626.2 .B254 2004</t>
        </is>
      </c>
      <c r="C780" t="inlineStr">
        <is>
          <t>0                      HV 6626200B  254         2004</t>
        </is>
      </c>
      <c r="D780" t="inlineStr">
        <is>
          <t>When dad hurts mom : helping your children heal the wounds of witnessing abuse / by Lundy Bancroft.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Bancroft, Lundy.</t>
        </is>
      </c>
      <c r="L780" t="inlineStr">
        <is>
          <t>New York : G.P. Putnam's Sons, c2004.</t>
        </is>
      </c>
      <c r="M780" t="inlineStr">
        <is>
          <t>2004</t>
        </is>
      </c>
      <c r="O780" t="inlineStr">
        <is>
          <t>eng</t>
        </is>
      </c>
      <c r="P780" t="inlineStr">
        <is>
          <t>nyu</t>
        </is>
      </c>
      <c r="R780" t="inlineStr">
        <is>
          <t xml:space="preserve">HV </t>
        </is>
      </c>
      <c r="S780" t="n">
        <v>1</v>
      </c>
      <c r="T780" t="n">
        <v>1</v>
      </c>
      <c r="U780" t="inlineStr">
        <is>
          <t>2004-11-22</t>
        </is>
      </c>
      <c r="V780" t="inlineStr">
        <is>
          <t>2004-11-22</t>
        </is>
      </c>
      <c r="W780" t="inlineStr">
        <is>
          <t>2004-11-22</t>
        </is>
      </c>
      <c r="X780" t="inlineStr">
        <is>
          <t>2004-11-22</t>
        </is>
      </c>
      <c r="Y780" t="n">
        <v>1059</v>
      </c>
      <c r="Z780" t="n">
        <v>997</v>
      </c>
      <c r="AA780" t="n">
        <v>1161</v>
      </c>
      <c r="AB780" t="n">
        <v>8</v>
      </c>
      <c r="AC780" t="n">
        <v>16</v>
      </c>
      <c r="AD780" t="n">
        <v>7</v>
      </c>
      <c r="AE780" t="n">
        <v>9</v>
      </c>
      <c r="AF780" t="n">
        <v>1</v>
      </c>
      <c r="AG780" t="n">
        <v>2</v>
      </c>
      <c r="AH780" t="n">
        <v>2</v>
      </c>
      <c r="AI780" t="n">
        <v>2</v>
      </c>
      <c r="AJ780" t="n">
        <v>3</v>
      </c>
      <c r="AK780" t="n">
        <v>3</v>
      </c>
      <c r="AL780" t="n">
        <v>2</v>
      </c>
      <c r="AM780" t="n">
        <v>3</v>
      </c>
      <c r="AN780" t="n">
        <v>1</v>
      </c>
      <c r="AO780" t="n">
        <v>1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HYPERLINK("http://catalog.hathitrust.org/Record/009927359","HathiTrust Record")</f>
        <v/>
      </c>
      <c r="AS780">
        <f>HYPERLINK("https://creighton-primo.hosted.exlibrisgroup.com/primo-explore/search?tab=default_tab&amp;search_scope=EVERYTHING&amp;vid=01CRU&amp;lang=en_US&amp;offset=0&amp;query=any,contains,991004406369702656","Catalog Record")</f>
        <v/>
      </c>
      <c r="AT780">
        <f>HYPERLINK("http://www.worldcat.org/oclc/53330882","WorldCat Record")</f>
        <v/>
      </c>
      <c r="AU780" t="inlineStr">
        <is>
          <t>1028031502:eng</t>
        </is>
      </c>
      <c r="AV780" t="inlineStr">
        <is>
          <t>53330882</t>
        </is>
      </c>
      <c r="AW780" t="inlineStr">
        <is>
          <t>991004406369702656</t>
        </is>
      </c>
      <c r="AX780" t="inlineStr">
        <is>
          <t>991004406369702656</t>
        </is>
      </c>
      <c r="AY780" t="inlineStr">
        <is>
          <t>2255703900002656</t>
        </is>
      </c>
      <c r="AZ780" t="inlineStr">
        <is>
          <t>BOOK</t>
        </is>
      </c>
      <c r="BB780" t="inlineStr">
        <is>
          <t>9780399151101</t>
        </is>
      </c>
      <c r="BC780" t="inlineStr">
        <is>
          <t>32285005012447</t>
        </is>
      </c>
      <c r="BD780" t="inlineStr">
        <is>
          <t>893526061</t>
        </is>
      </c>
    </row>
    <row r="781">
      <c r="A781" t="inlineStr">
        <is>
          <t>No</t>
        </is>
      </c>
      <c r="B781" t="inlineStr">
        <is>
          <t>HV6626.2 .B743 2004</t>
        </is>
      </c>
      <c r="C781" t="inlineStr">
        <is>
          <t>0                      HV 6626200B  743         2004</t>
        </is>
      </c>
      <c r="D781" t="inlineStr">
        <is>
          <t>Breaking the silence in social work education : domestic violence modules for foundation courses / edited by Fran S. Danis and Lettie L. Lockhart.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L781" t="inlineStr">
        <is>
          <t>Alexandria VA : Council on Social Work Education, c2004.</t>
        </is>
      </c>
      <c r="M781" t="inlineStr">
        <is>
          <t>2004</t>
        </is>
      </c>
      <c r="O781" t="inlineStr">
        <is>
          <t>eng</t>
        </is>
      </c>
      <c r="P781" t="inlineStr">
        <is>
          <t>vau</t>
        </is>
      </c>
      <c r="R781" t="inlineStr">
        <is>
          <t xml:space="preserve">HV </t>
        </is>
      </c>
      <c r="S781" t="n">
        <v>2</v>
      </c>
      <c r="T781" t="n">
        <v>2</v>
      </c>
      <c r="U781" t="inlineStr">
        <is>
          <t>2005-06-08</t>
        </is>
      </c>
      <c r="V781" t="inlineStr">
        <is>
          <t>2005-06-08</t>
        </is>
      </c>
      <c r="W781" t="inlineStr">
        <is>
          <t>2005-06-08</t>
        </is>
      </c>
      <c r="X781" t="inlineStr">
        <is>
          <t>2005-06-08</t>
        </is>
      </c>
      <c r="Y781" t="n">
        <v>77</v>
      </c>
      <c r="Z781" t="n">
        <v>67</v>
      </c>
      <c r="AA781" t="n">
        <v>69</v>
      </c>
      <c r="AB781" t="n">
        <v>1</v>
      </c>
      <c r="AC781" t="n">
        <v>1</v>
      </c>
      <c r="AD781" t="n">
        <v>3</v>
      </c>
      <c r="AE781" t="n">
        <v>3</v>
      </c>
      <c r="AF781" t="n">
        <v>1</v>
      </c>
      <c r="AG781" t="n">
        <v>1</v>
      </c>
      <c r="AH781" t="n">
        <v>2</v>
      </c>
      <c r="AI781" t="n">
        <v>2</v>
      </c>
      <c r="AJ781" t="n">
        <v>2</v>
      </c>
      <c r="AK781" t="n">
        <v>2</v>
      </c>
      <c r="AL781" t="n">
        <v>0</v>
      </c>
      <c r="AM781" t="n">
        <v>0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HYPERLINK("http://catalog.hathitrust.org/Record/004720390","HathiTrust Record")</f>
        <v/>
      </c>
      <c r="AS781">
        <f>HYPERLINK("https://creighton-primo.hosted.exlibrisgroup.com/primo-explore/search?tab=default_tab&amp;search_scope=EVERYTHING&amp;vid=01CRU&amp;lang=en_US&amp;offset=0&amp;query=any,contains,991004470179702656","Catalog Record")</f>
        <v/>
      </c>
      <c r="AT781">
        <f>HYPERLINK("http://www.worldcat.org/oclc/55591785","WorldCat Record")</f>
        <v/>
      </c>
      <c r="AU781" t="inlineStr">
        <is>
          <t>866851015:eng</t>
        </is>
      </c>
      <c r="AV781" t="inlineStr">
        <is>
          <t>55591785</t>
        </is>
      </c>
      <c r="AW781" t="inlineStr">
        <is>
          <t>991004470179702656</t>
        </is>
      </c>
      <c r="AX781" t="inlineStr">
        <is>
          <t>991004470179702656</t>
        </is>
      </c>
      <c r="AY781" t="inlineStr">
        <is>
          <t>2272292590002656</t>
        </is>
      </c>
      <c r="AZ781" t="inlineStr">
        <is>
          <t>BOOK</t>
        </is>
      </c>
      <c r="BB781" t="inlineStr">
        <is>
          <t>9780872931107</t>
        </is>
      </c>
      <c r="BC781" t="inlineStr">
        <is>
          <t>32285005093348</t>
        </is>
      </c>
      <c r="BD781" t="inlineStr">
        <is>
          <t>893350025</t>
        </is>
      </c>
    </row>
    <row r="782">
      <c r="A782" t="inlineStr">
        <is>
          <t>No</t>
        </is>
      </c>
      <c r="B782" t="inlineStr">
        <is>
          <t>HV6626.2 .B85 2004</t>
        </is>
      </c>
      <c r="C782" t="inlineStr">
        <is>
          <t>0                      HV 6626200B  85          2004</t>
        </is>
      </c>
      <c r="D782" t="inlineStr">
        <is>
          <t>In the adopted land : abused immigrant women and the criminal justice system / Hoan N. Bui ; foreword by Merry Morash.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Bui, Hoan N., 1950-</t>
        </is>
      </c>
      <c r="L782" t="inlineStr">
        <is>
          <t>Westport, Conn. : Praeger, 2004.</t>
        </is>
      </c>
      <c r="M782" t="inlineStr">
        <is>
          <t>2004</t>
        </is>
      </c>
      <c r="O782" t="inlineStr">
        <is>
          <t>eng</t>
        </is>
      </c>
      <c r="P782" t="inlineStr">
        <is>
          <t>ctu</t>
        </is>
      </c>
      <c r="Q782" t="inlineStr">
        <is>
          <t>Criminal justice, delinquency, and corrections, 1535-0371</t>
        </is>
      </c>
      <c r="R782" t="inlineStr">
        <is>
          <t xml:space="preserve">HV </t>
        </is>
      </c>
      <c r="S782" t="n">
        <v>1</v>
      </c>
      <c r="T782" t="n">
        <v>1</v>
      </c>
      <c r="U782" t="inlineStr">
        <is>
          <t>2006-02-23</t>
        </is>
      </c>
      <c r="V782" t="inlineStr">
        <is>
          <t>2006-02-23</t>
        </is>
      </c>
      <c r="W782" t="inlineStr">
        <is>
          <t>2006-02-09</t>
        </is>
      </c>
      <c r="X782" t="inlineStr">
        <is>
          <t>2006-02-09</t>
        </is>
      </c>
      <c r="Y782" t="n">
        <v>473</v>
      </c>
      <c r="Z782" t="n">
        <v>419</v>
      </c>
      <c r="AA782" t="n">
        <v>1322</v>
      </c>
      <c r="AB782" t="n">
        <v>4</v>
      </c>
      <c r="AC782" t="n">
        <v>33</v>
      </c>
      <c r="AD782" t="n">
        <v>21</v>
      </c>
      <c r="AE782" t="n">
        <v>45</v>
      </c>
      <c r="AF782" t="n">
        <v>7</v>
      </c>
      <c r="AG782" t="n">
        <v>15</v>
      </c>
      <c r="AH782" t="n">
        <v>5</v>
      </c>
      <c r="AI782" t="n">
        <v>7</v>
      </c>
      <c r="AJ782" t="n">
        <v>8</v>
      </c>
      <c r="AK782" t="n">
        <v>12</v>
      </c>
      <c r="AL782" t="n">
        <v>3</v>
      </c>
      <c r="AM782" t="n">
        <v>14</v>
      </c>
      <c r="AN782" t="n">
        <v>2</v>
      </c>
      <c r="AO782" t="n">
        <v>3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HYPERLINK("http://catalog.hathitrust.org/Record/004768343","HathiTrust Record")</f>
        <v/>
      </c>
      <c r="AS782">
        <f>HYPERLINK("https://creighton-primo.hosted.exlibrisgroup.com/primo-explore/search?tab=default_tab&amp;search_scope=EVERYTHING&amp;vid=01CRU&amp;lang=en_US&amp;offset=0&amp;query=any,contains,991004736709702656","Catalog Record")</f>
        <v/>
      </c>
      <c r="AT782">
        <f>HYPERLINK("http://www.worldcat.org/oclc/53038453","WorldCat Record")</f>
        <v/>
      </c>
      <c r="AU782" t="inlineStr">
        <is>
          <t>669971:eng</t>
        </is>
      </c>
      <c r="AV782" t="inlineStr">
        <is>
          <t>53038453</t>
        </is>
      </c>
      <c r="AW782" t="inlineStr">
        <is>
          <t>991004736709702656</t>
        </is>
      </c>
      <c r="AX782" t="inlineStr">
        <is>
          <t>991004736709702656</t>
        </is>
      </c>
      <c r="AY782" t="inlineStr">
        <is>
          <t>2271119520002656</t>
        </is>
      </c>
      <c r="AZ782" t="inlineStr">
        <is>
          <t>BOOK</t>
        </is>
      </c>
      <c r="BB782" t="inlineStr">
        <is>
          <t>9780275977085</t>
        </is>
      </c>
      <c r="BC782" t="inlineStr">
        <is>
          <t>32285005160246</t>
        </is>
      </c>
      <c r="BD782" t="inlineStr">
        <is>
          <t>893712961</t>
        </is>
      </c>
    </row>
    <row r="783">
      <c r="A783" t="inlineStr">
        <is>
          <t>No</t>
        </is>
      </c>
      <c r="B783" t="inlineStr">
        <is>
          <t>HV6626.2 .D675 2005</t>
        </is>
      </c>
      <c r="C783" t="inlineStr">
        <is>
          <t>0                      HV 6626200D  675         2005</t>
        </is>
      </c>
      <c r="D783" t="inlineStr">
        <is>
          <t>Domestic violence in Asian American communities : a cultural overview / [edited by] Tuyen D. Nguyen.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L783" t="inlineStr">
        <is>
          <t>Lanham, MD : Lexington Books, c2005.</t>
        </is>
      </c>
      <c r="M783" t="inlineStr">
        <is>
          <t>2005</t>
        </is>
      </c>
      <c r="O783" t="inlineStr">
        <is>
          <t>eng</t>
        </is>
      </c>
      <c r="P783" t="inlineStr">
        <is>
          <t>mdu</t>
        </is>
      </c>
      <c r="R783" t="inlineStr">
        <is>
          <t xml:space="preserve">HV </t>
        </is>
      </c>
      <c r="S783" t="n">
        <v>1</v>
      </c>
      <c r="T783" t="n">
        <v>1</v>
      </c>
      <c r="U783" t="inlineStr">
        <is>
          <t>2005-11-30</t>
        </is>
      </c>
      <c r="V783" t="inlineStr">
        <is>
          <t>2005-11-30</t>
        </is>
      </c>
      <c r="W783" t="inlineStr">
        <is>
          <t>2005-11-30</t>
        </is>
      </c>
      <c r="X783" t="inlineStr">
        <is>
          <t>2005-11-30</t>
        </is>
      </c>
      <c r="Y783" t="n">
        <v>263</v>
      </c>
      <c r="Z783" t="n">
        <v>220</v>
      </c>
      <c r="AA783" t="n">
        <v>240</v>
      </c>
      <c r="AB783" t="n">
        <v>2</v>
      </c>
      <c r="AC783" t="n">
        <v>2</v>
      </c>
      <c r="AD783" t="n">
        <v>11</v>
      </c>
      <c r="AE783" t="n">
        <v>11</v>
      </c>
      <c r="AF783" t="n">
        <v>1</v>
      </c>
      <c r="AG783" t="n">
        <v>1</v>
      </c>
      <c r="AH783" t="n">
        <v>5</v>
      </c>
      <c r="AI783" t="n">
        <v>5</v>
      </c>
      <c r="AJ783" t="n">
        <v>7</v>
      </c>
      <c r="AK783" t="n">
        <v>7</v>
      </c>
      <c r="AL783" t="n">
        <v>1</v>
      </c>
      <c r="AM783" t="n">
        <v>1</v>
      </c>
      <c r="AN783" t="n">
        <v>0</v>
      </c>
      <c r="AO783" t="n">
        <v>0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HYPERLINK("http://catalog.hathitrust.org/Record/005082552","HathiTrust Record")</f>
        <v/>
      </c>
      <c r="AS783">
        <f>HYPERLINK("https://creighton-primo.hosted.exlibrisgroup.com/primo-explore/search?tab=default_tab&amp;search_scope=EVERYTHING&amp;vid=01CRU&amp;lang=en_US&amp;offset=0&amp;query=any,contains,991004689319702656","Catalog Record")</f>
        <v/>
      </c>
      <c r="AT783">
        <f>HYPERLINK("http://www.worldcat.org/oclc/60028964","WorldCat Record")</f>
        <v/>
      </c>
      <c r="AU783" t="inlineStr">
        <is>
          <t>46376741:eng</t>
        </is>
      </c>
      <c r="AV783" t="inlineStr">
        <is>
          <t>60028964</t>
        </is>
      </c>
      <c r="AW783" t="inlineStr">
        <is>
          <t>991004689319702656</t>
        </is>
      </c>
      <c r="AX783" t="inlineStr">
        <is>
          <t>991004689319702656</t>
        </is>
      </c>
      <c r="AY783" t="inlineStr">
        <is>
          <t>2268211780002656</t>
        </is>
      </c>
      <c r="AZ783" t="inlineStr">
        <is>
          <t>BOOK</t>
        </is>
      </c>
      <c r="BB783" t="inlineStr">
        <is>
          <t>9780739108581</t>
        </is>
      </c>
      <c r="BC783" t="inlineStr">
        <is>
          <t>32285005149470</t>
        </is>
      </c>
      <c r="BD783" t="inlineStr">
        <is>
          <t>893331910</t>
        </is>
      </c>
    </row>
    <row r="784">
      <c r="A784" t="inlineStr">
        <is>
          <t>No</t>
        </is>
      </c>
      <c r="B784" t="inlineStr">
        <is>
          <t>HV6626.2 .D87 1995</t>
        </is>
      </c>
      <c r="C784" t="inlineStr">
        <is>
          <t>0                      HV 6626200D  87          1995</t>
        </is>
      </c>
      <c r="D784" t="inlineStr">
        <is>
          <t>The batterer : a psychological profile / Donald G. Dutton with Susan K. Golant.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Dutton, Donald G., 1943-</t>
        </is>
      </c>
      <c r="L784" t="inlineStr">
        <is>
          <t>New York : Basic Books, c1995.</t>
        </is>
      </c>
      <c r="M784" t="inlineStr">
        <is>
          <t>1995</t>
        </is>
      </c>
      <c r="O784" t="inlineStr">
        <is>
          <t>eng</t>
        </is>
      </c>
      <c r="P784" t="inlineStr">
        <is>
          <t>nyu</t>
        </is>
      </c>
      <c r="R784" t="inlineStr">
        <is>
          <t xml:space="preserve">HV </t>
        </is>
      </c>
      <c r="S784" t="n">
        <v>8</v>
      </c>
      <c r="T784" t="n">
        <v>8</v>
      </c>
      <c r="U784" t="inlineStr">
        <is>
          <t>2006-06-26</t>
        </is>
      </c>
      <c r="V784" t="inlineStr">
        <is>
          <t>2006-06-26</t>
        </is>
      </c>
      <c r="W784" t="inlineStr">
        <is>
          <t>1995-11-06</t>
        </is>
      </c>
      <c r="X784" t="inlineStr">
        <is>
          <t>1995-11-06</t>
        </is>
      </c>
      <c r="Y784" t="n">
        <v>1334</v>
      </c>
      <c r="Z784" t="n">
        <v>1236</v>
      </c>
      <c r="AA784" t="n">
        <v>1255</v>
      </c>
      <c r="AB784" t="n">
        <v>6</v>
      </c>
      <c r="AC784" t="n">
        <v>6</v>
      </c>
      <c r="AD784" t="n">
        <v>34</v>
      </c>
      <c r="AE784" t="n">
        <v>34</v>
      </c>
      <c r="AF784" t="n">
        <v>14</v>
      </c>
      <c r="AG784" t="n">
        <v>14</v>
      </c>
      <c r="AH784" t="n">
        <v>5</v>
      </c>
      <c r="AI784" t="n">
        <v>5</v>
      </c>
      <c r="AJ784" t="n">
        <v>14</v>
      </c>
      <c r="AK784" t="n">
        <v>14</v>
      </c>
      <c r="AL784" t="n">
        <v>4</v>
      </c>
      <c r="AM784" t="n">
        <v>4</v>
      </c>
      <c r="AN784" t="n">
        <v>4</v>
      </c>
      <c r="AO784" t="n">
        <v>4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HYPERLINK("http://catalog.hathitrust.org/Record/003012089","HathiTrust Record")</f>
        <v/>
      </c>
      <c r="AS784">
        <f>HYPERLINK("https://creighton-primo.hosted.exlibrisgroup.com/primo-explore/search?tab=default_tab&amp;search_scope=EVERYTHING&amp;vid=01CRU&amp;lang=en_US&amp;offset=0&amp;query=any,contains,991002509199702656","Catalog Record")</f>
        <v/>
      </c>
      <c r="AT784">
        <f>HYPERLINK("http://www.worldcat.org/oclc/32626430","WorldCat Record")</f>
        <v/>
      </c>
      <c r="AU784" t="inlineStr">
        <is>
          <t>13119990:eng</t>
        </is>
      </c>
      <c r="AV784" t="inlineStr">
        <is>
          <t>32626430</t>
        </is>
      </c>
      <c r="AW784" t="inlineStr">
        <is>
          <t>991002509199702656</t>
        </is>
      </c>
      <c r="AX784" t="inlineStr">
        <is>
          <t>991002509199702656</t>
        </is>
      </c>
      <c r="AY784" t="inlineStr">
        <is>
          <t>2267060110002656</t>
        </is>
      </c>
      <c r="AZ784" t="inlineStr">
        <is>
          <t>BOOK</t>
        </is>
      </c>
      <c r="BB784" t="inlineStr">
        <is>
          <t>9780465033874</t>
        </is>
      </c>
      <c r="BC784" t="inlineStr">
        <is>
          <t>32285002101409</t>
        </is>
      </c>
      <c r="BD784" t="inlineStr">
        <is>
          <t>893427669</t>
        </is>
      </c>
    </row>
    <row r="785">
      <c r="A785" t="inlineStr">
        <is>
          <t>No</t>
        </is>
      </c>
      <c r="B785" t="inlineStr">
        <is>
          <t>HV6626.2 .F46 1997</t>
        </is>
      </c>
      <c r="C785" t="inlineStr">
        <is>
          <t>0                      HV 6626200F  46          1997</t>
        </is>
      </c>
      <c r="D785" t="inlineStr">
        <is>
          <t>Feminists negotiate the state : the politics of domestic violence / edited by Cynthia R. Daniels with Rachelle Brooks ... [et al.].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L785" t="inlineStr">
        <is>
          <t>Lanham, Md. : University Press of America, c1997.</t>
        </is>
      </c>
      <c r="M785" t="inlineStr">
        <is>
          <t>1997</t>
        </is>
      </c>
      <c r="O785" t="inlineStr">
        <is>
          <t>eng</t>
        </is>
      </c>
      <c r="P785" t="inlineStr">
        <is>
          <t>mdu</t>
        </is>
      </c>
      <c r="R785" t="inlineStr">
        <is>
          <t xml:space="preserve">HV </t>
        </is>
      </c>
      <c r="S785" t="n">
        <v>9</v>
      </c>
      <c r="T785" t="n">
        <v>9</v>
      </c>
      <c r="U785" t="inlineStr">
        <is>
          <t>2005-02-26</t>
        </is>
      </c>
      <c r="V785" t="inlineStr">
        <is>
          <t>2005-02-26</t>
        </is>
      </c>
      <c r="W785" t="inlineStr">
        <is>
          <t>1998-06-16</t>
        </is>
      </c>
      <c r="X785" t="inlineStr">
        <is>
          <t>1998-06-16</t>
        </is>
      </c>
      <c r="Y785" t="n">
        <v>296</v>
      </c>
      <c r="Z785" t="n">
        <v>249</v>
      </c>
      <c r="AA785" t="n">
        <v>251</v>
      </c>
      <c r="AB785" t="n">
        <v>3</v>
      </c>
      <c r="AC785" t="n">
        <v>3</v>
      </c>
      <c r="AD785" t="n">
        <v>13</v>
      </c>
      <c r="AE785" t="n">
        <v>13</v>
      </c>
      <c r="AF785" t="n">
        <v>1</v>
      </c>
      <c r="AG785" t="n">
        <v>1</v>
      </c>
      <c r="AH785" t="n">
        <v>6</v>
      </c>
      <c r="AI785" t="n">
        <v>6</v>
      </c>
      <c r="AJ785" t="n">
        <v>4</v>
      </c>
      <c r="AK785" t="n">
        <v>4</v>
      </c>
      <c r="AL785" t="n">
        <v>2</v>
      </c>
      <c r="AM785" t="n">
        <v>2</v>
      </c>
      <c r="AN785" t="n">
        <v>3</v>
      </c>
      <c r="AO785" t="n">
        <v>3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HYPERLINK("http://catalog.hathitrust.org/Record/003974288","HathiTrust Record")</f>
        <v/>
      </c>
      <c r="AS785">
        <f>HYPERLINK("https://creighton-primo.hosted.exlibrisgroup.com/primo-explore/search?tab=default_tab&amp;search_scope=EVERYTHING&amp;vid=01CRU&amp;lang=en_US&amp;offset=0&amp;query=any,contains,991002837199702656","Catalog Record")</f>
        <v/>
      </c>
      <c r="AT785">
        <f>HYPERLINK("http://www.worldcat.org/oclc/37368711","WorldCat Record")</f>
        <v/>
      </c>
      <c r="AU785" t="inlineStr">
        <is>
          <t>475054531:eng</t>
        </is>
      </c>
      <c r="AV785" t="inlineStr">
        <is>
          <t>37368711</t>
        </is>
      </c>
      <c r="AW785" t="inlineStr">
        <is>
          <t>991002837199702656</t>
        </is>
      </c>
      <c r="AX785" t="inlineStr">
        <is>
          <t>991002837199702656</t>
        </is>
      </c>
      <c r="AY785" t="inlineStr">
        <is>
          <t>2261792540002656</t>
        </is>
      </c>
      <c r="AZ785" t="inlineStr">
        <is>
          <t>BOOK</t>
        </is>
      </c>
      <c r="BB785" t="inlineStr">
        <is>
          <t>9780761808831</t>
        </is>
      </c>
      <c r="BC785" t="inlineStr">
        <is>
          <t>32285003421376</t>
        </is>
      </c>
      <c r="BD785" t="inlineStr">
        <is>
          <t>893421856</t>
        </is>
      </c>
    </row>
    <row r="786">
      <c r="A786" t="inlineStr">
        <is>
          <t>No</t>
        </is>
      </c>
      <c r="B786" t="inlineStr">
        <is>
          <t>HV6626.2 .G34 1998</t>
        </is>
      </c>
      <c r="C786" t="inlineStr">
        <is>
          <t>0                      HV 6626200G  34          1998</t>
        </is>
      </c>
      <c r="D786" t="inlineStr">
        <is>
          <t>Battered women's justice : the movement for clemency and the politics of self-defense / Patricia Gagné.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Gagné, Patricia.</t>
        </is>
      </c>
      <c r="L786" t="inlineStr">
        <is>
          <t>New York : Twayne Publishers ; London : Prentice Hall International, c1998.</t>
        </is>
      </c>
      <c r="M786" t="inlineStr">
        <is>
          <t>1998</t>
        </is>
      </c>
      <c r="O786" t="inlineStr">
        <is>
          <t>eng</t>
        </is>
      </c>
      <c r="P786" t="inlineStr">
        <is>
          <t>nyu</t>
        </is>
      </c>
      <c r="Q786" t="inlineStr">
        <is>
          <t>Social movements past and present</t>
        </is>
      </c>
      <c r="R786" t="inlineStr">
        <is>
          <t xml:space="preserve">HV </t>
        </is>
      </c>
      <c r="S786" t="n">
        <v>12</v>
      </c>
      <c r="T786" t="n">
        <v>12</v>
      </c>
      <c r="U786" t="inlineStr">
        <is>
          <t>2003-12-06</t>
        </is>
      </c>
      <c r="V786" t="inlineStr">
        <is>
          <t>2003-12-06</t>
        </is>
      </c>
      <c r="W786" t="inlineStr">
        <is>
          <t>1998-12-14</t>
        </is>
      </c>
      <c r="X786" t="inlineStr">
        <is>
          <t>1998-12-14</t>
        </is>
      </c>
      <c r="Y786" t="n">
        <v>737</v>
      </c>
      <c r="Z786" t="n">
        <v>689</v>
      </c>
      <c r="AA786" t="n">
        <v>695</v>
      </c>
      <c r="AB786" t="n">
        <v>6</v>
      </c>
      <c r="AC786" t="n">
        <v>6</v>
      </c>
      <c r="AD786" t="n">
        <v>39</v>
      </c>
      <c r="AE786" t="n">
        <v>39</v>
      </c>
      <c r="AF786" t="n">
        <v>13</v>
      </c>
      <c r="AG786" t="n">
        <v>13</v>
      </c>
      <c r="AH786" t="n">
        <v>7</v>
      </c>
      <c r="AI786" t="n">
        <v>7</v>
      </c>
      <c r="AJ786" t="n">
        <v>18</v>
      </c>
      <c r="AK786" t="n">
        <v>18</v>
      </c>
      <c r="AL786" t="n">
        <v>5</v>
      </c>
      <c r="AM786" t="n">
        <v>5</v>
      </c>
      <c r="AN786" t="n">
        <v>6</v>
      </c>
      <c r="AO786" t="n">
        <v>6</v>
      </c>
      <c r="AP786" t="inlineStr">
        <is>
          <t>No</t>
        </is>
      </c>
      <c r="AQ786" t="inlineStr">
        <is>
          <t>No</t>
        </is>
      </c>
      <c r="AS786">
        <f>HYPERLINK("https://creighton-primo.hosted.exlibrisgroup.com/primo-explore/search?tab=default_tab&amp;search_scope=EVERYTHING&amp;vid=01CRU&amp;lang=en_US&amp;offset=0&amp;query=any,contains,991002923309702656","Catalog Record")</f>
        <v/>
      </c>
      <c r="AT786">
        <f>HYPERLINK("http://www.worldcat.org/oclc/38853984","WorldCat Record")</f>
        <v/>
      </c>
      <c r="AU786" t="inlineStr">
        <is>
          <t>902124966:eng</t>
        </is>
      </c>
      <c r="AV786" t="inlineStr">
        <is>
          <t>38853984</t>
        </is>
      </c>
      <c r="AW786" t="inlineStr">
        <is>
          <t>991002923309702656</t>
        </is>
      </c>
      <c r="AX786" t="inlineStr">
        <is>
          <t>991002923309702656</t>
        </is>
      </c>
      <c r="AY786" t="inlineStr">
        <is>
          <t>2272580480002656</t>
        </is>
      </c>
      <c r="AZ786" t="inlineStr">
        <is>
          <t>BOOK</t>
        </is>
      </c>
      <c r="BB786" t="inlineStr">
        <is>
          <t>9780805791501</t>
        </is>
      </c>
      <c r="BC786" t="inlineStr">
        <is>
          <t>32285003506184</t>
        </is>
      </c>
      <c r="BD786" t="inlineStr">
        <is>
          <t>893704679</t>
        </is>
      </c>
    </row>
    <row r="787">
      <c r="A787" t="inlineStr">
        <is>
          <t>No</t>
        </is>
      </c>
      <c r="B787" t="inlineStr">
        <is>
          <t>HV6626.2 .J33 1998</t>
        </is>
      </c>
      <c r="C787" t="inlineStr">
        <is>
          <t>0                      HV 6626200J  33          1998</t>
        </is>
      </c>
      <c r="D787" t="inlineStr">
        <is>
          <t>When men batter women : new insights into ending abusive relationships / Neil S. Jacobson, John M. Gottman.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Jacobson, Neil S., 1949-</t>
        </is>
      </c>
      <c r="L787" t="inlineStr">
        <is>
          <t>New York : Simon &amp; Schuster, c1998.</t>
        </is>
      </c>
      <c r="M787" t="inlineStr">
        <is>
          <t>1998</t>
        </is>
      </c>
      <c r="O787" t="inlineStr">
        <is>
          <t>eng</t>
        </is>
      </c>
      <c r="P787" t="inlineStr">
        <is>
          <t>nyu</t>
        </is>
      </c>
      <c r="R787" t="inlineStr">
        <is>
          <t xml:space="preserve">HV </t>
        </is>
      </c>
      <c r="S787" t="n">
        <v>11</v>
      </c>
      <c r="T787" t="n">
        <v>11</v>
      </c>
      <c r="U787" t="inlineStr">
        <is>
          <t>2006-10-31</t>
        </is>
      </c>
      <c r="V787" t="inlineStr">
        <is>
          <t>2006-10-31</t>
        </is>
      </c>
      <c r="W787" t="inlineStr">
        <is>
          <t>2000-10-12</t>
        </is>
      </c>
      <c r="X787" t="inlineStr">
        <is>
          <t>2000-10-12</t>
        </is>
      </c>
      <c r="Y787" t="n">
        <v>928</v>
      </c>
      <c r="Z787" t="n">
        <v>844</v>
      </c>
      <c r="AA787" t="n">
        <v>890</v>
      </c>
      <c r="AB787" t="n">
        <v>9</v>
      </c>
      <c r="AC787" t="n">
        <v>9</v>
      </c>
      <c r="AD787" t="n">
        <v>22</v>
      </c>
      <c r="AE787" t="n">
        <v>23</v>
      </c>
      <c r="AF787" t="n">
        <v>9</v>
      </c>
      <c r="AG787" t="n">
        <v>9</v>
      </c>
      <c r="AH787" t="n">
        <v>3</v>
      </c>
      <c r="AI787" t="n">
        <v>3</v>
      </c>
      <c r="AJ787" t="n">
        <v>11</v>
      </c>
      <c r="AK787" t="n">
        <v>12</v>
      </c>
      <c r="AL787" t="n">
        <v>6</v>
      </c>
      <c r="AM787" t="n">
        <v>6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HYPERLINK("http://catalog.hathitrust.org/Record/003963120","HathiTrust Record")</f>
        <v/>
      </c>
      <c r="AS787">
        <f>HYPERLINK("https://creighton-primo.hosted.exlibrisgroup.com/primo-explore/search?tab=default_tab&amp;search_scope=EVERYTHING&amp;vid=01CRU&amp;lang=en_US&amp;offset=0&amp;query=any,contains,991003268889702656","Catalog Record")</f>
        <v/>
      </c>
      <c r="AT787">
        <f>HYPERLINK("http://www.worldcat.org/oclc/37748396","WorldCat Record")</f>
        <v/>
      </c>
      <c r="AU787" t="inlineStr">
        <is>
          <t>292659380:eng</t>
        </is>
      </c>
      <c r="AV787" t="inlineStr">
        <is>
          <t>37748396</t>
        </is>
      </c>
      <c r="AW787" t="inlineStr">
        <is>
          <t>991003268889702656</t>
        </is>
      </c>
      <c r="AX787" t="inlineStr">
        <is>
          <t>991003268889702656</t>
        </is>
      </c>
      <c r="AY787" t="inlineStr">
        <is>
          <t>2260411840002656</t>
        </is>
      </c>
      <c r="AZ787" t="inlineStr">
        <is>
          <t>BOOK</t>
        </is>
      </c>
      <c r="BB787" t="inlineStr">
        <is>
          <t>9780684814476</t>
        </is>
      </c>
      <c r="BC787" t="inlineStr">
        <is>
          <t>32285003767653</t>
        </is>
      </c>
      <c r="BD787" t="inlineStr">
        <is>
          <t>893428624</t>
        </is>
      </c>
    </row>
    <row r="788">
      <c r="A788" t="inlineStr">
        <is>
          <t>No</t>
        </is>
      </c>
      <c r="B788" t="inlineStr">
        <is>
          <t>HV6626.2 .K55 1993</t>
        </is>
      </c>
      <c r="C788" t="inlineStr">
        <is>
          <t>0                      HV 6626200K  55          1993</t>
        </is>
      </c>
      <c r="D788" t="inlineStr">
        <is>
          <t>Every eighteen seconds : a journey through domestic violence / by Nancy Kilgore.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Kilgore, Nancy, 1949-</t>
        </is>
      </c>
      <c r="L788" t="inlineStr">
        <is>
          <t>Volcano, Calif. : Volcano Press, 1993.</t>
        </is>
      </c>
      <c r="M788" t="inlineStr">
        <is>
          <t>1993</t>
        </is>
      </c>
      <c r="N788" t="inlineStr">
        <is>
          <t>1st Volcano Press ed.</t>
        </is>
      </c>
      <c r="O788" t="inlineStr">
        <is>
          <t>eng</t>
        </is>
      </c>
      <c r="P788" t="inlineStr">
        <is>
          <t>cau</t>
        </is>
      </c>
      <c r="R788" t="inlineStr">
        <is>
          <t xml:space="preserve">HV </t>
        </is>
      </c>
      <c r="S788" t="n">
        <v>14</v>
      </c>
      <c r="T788" t="n">
        <v>14</v>
      </c>
      <c r="U788" t="inlineStr">
        <is>
          <t>2006-10-31</t>
        </is>
      </c>
      <c r="V788" t="inlineStr">
        <is>
          <t>2006-10-31</t>
        </is>
      </c>
      <c r="W788" t="inlineStr">
        <is>
          <t>1997-01-30</t>
        </is>
      </c>
      <c r="X788" t="inlineStr">
        <is>
          <t>1997-01-30</t>
        </is>
      </c>
      <c r="Y788" t="n">
        <v>124</v>
      </c>
      <c r="Z788" t="n">
        <v>111</v>
      </c>
      <c r="AA788" t="n">
        <v>116</v>
      </c>
      <c r="AB788" t="n">
        <v>2</v>
      </c>
      <c r="AC788" t="n">
        <v>2</v>
      </c>
      <c r="AD788" t="n">
        <v>2</v>
      </c>
      <c r="AE788" t="n">
        <v>2</v>
      </c>
      <c r="AF788" t="n">
        <v>0</v>
      </c>
      <c r="AG788" t="n">
        <v>0</v>
      </c>
      <c r="AH788" t="n">
        <v>0</v>
      </c>
      <c r="AI788" t="n">
        <v>0</v>
      </c>
      <c r="AJ788" t="n">
        <v>1</v>
      </c>
      <c r="AK788" t="n">
        <v>1</v>
      </c>
      <c r="AL788" t="n">
        <v>1</v>
      </c>
      <c r="AM788" t="n">
        <v>1</v>
      </c>
      <c r="AN788" t="n">
        <v>0</v>
      </c>
      <c r="AO788" t="n">
        <v>0</v>
      </c>
      <c r="AP788" t="inlineStr">
        <is>
          <t>No</t>
        </is>
      </c>
      <c r="AQ788" t="inlineStr">
        <is>
          <t>No</t>
        </is>
      </c>
      <c r="AS788">
        <f>HYPERLINK("https://creighton-primo.hosted.exlibrisgroup.com/primo-explore/search?tab=default_tab&amp;search_scope=EVERYTHING&amp;vid=01CRU&amp;lang=en_US&amp;offset=0&amp;query=any,contains,991002177949702656","Catalog Record")</f>
        <v/>
      </c>
      <c r="AT788">
        <f>HYPERLINK("http://www.worldcat.org/oclc/28027285","WorldCat Record")</f>
        <v/>
      </c>
      <c r="AU788" t="inlineStr">
        <is>
          <t>3857367066:eng</t>
        </is>
      </c>
      <c r="AV788" t="inlineStr">
        <is>
          <t>28027285</t>
        </is>
      </c>
      <c r="AW788" t="inlineStr">
        <is>
          <t>991002177949702656</t>
        </is>
      </c>
      <c r="AX788" t="inlineStr">
        <is>
          <t>991002177949702656</t>
        </is>
      </c>
      <c r="AY788" t="inlineStr">
        <is>
          <t>2266039100002656</t>
        </is>
      </c>
      <c r="AZ788" t="inlineStr">
        <is>
          <t>BOOK</t>
        </is>
      </c>
      <c r="BB788" t="inlineStr">
        <is>
          <t>9780912078991</t>
        </is>
      </c>
      <c r="BC788" t="inlineStr">
        <is>
          <t>32285002412772</t>
        </is>
      </c>
      <c r="BD788" t="inlineStr">
        <is>
          <t>893433574</t>
        </is>
      </c>
    </row>
    <row r="789">
      <c r="A789" t="inlineStr">
        <is>
          <t>No</t>
        </is>
      </c>
      <c r="B789" t="inlineStr">
        <is>
          <t>HV6626.2 .R87 2001</t>
        </is>
      </c>
      <c r="C789" t="inlineStr">
        <is>
          <t>0                      HV 6626200R  87          2001</t>
        </is>
      </c>
      <c r="D789" t="inlineStr">
        <is>
          <t>Taking back our lives : a call to action for the Feminist movement / Ann Russo.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Russo, Ann, 1957-</t>
        </is>
      </c>
      <c r="L789" t="inlineStr">
        <is>
          <t>New York : Routledge, 2001.</t>
        </is>
      </c>
      <c r="M789" t="inlineStr">
        <is>
          <t>2001</t>
        </is>
      </c>
      <c r="O789" t="inlineStr">
        <is>
          <t>eng</t>
        </is>
      </c>
      <c r="P789" t="inlineStr">
        <is>
          <t>nyu</t>
        </is>
      </c>
      <c r="R789" t="inlineStr">
        <is>
          <t xml:space="preserve">HV </t>
        </is>
      </c>
      <c r="S789" t="n">
        <v>2</v>
      </c>
      <c r="T789" t="n">
        <v>2</v>
      </c>
      <c r="U789" t="inlineStr">
        <is>
          <t>2005-10-16</t>
        </is>
      </c>
      <c r="V789" t="inlineStr">
        <is>
          <t>2005-10-16</t>
        </is>
      </c>
      <c r="W789" t="inlineStr">
        <is>
          <t>2001-10-03</t>
        </is>
      </c>
      <c r="X789" t="inlineStr">
        <is>
          <t>2001-10-03</t>
        </is>
      </c>
      <c r="Y789" t="n">
        <v>383</v>
      </c>
      <c r="Z789" t="n">
        <v>309</v>
      </c>
      <c r="AA789" t="n">
        <v>579</v>
      </c>
      <c r="AB789" t="n">
        <v>2</v>
      </c>
      <c r="AC789" t="n">
        <v>4</v>
      </c>
      <c r="AD789" t="n">
        <v>14</v>
      </c>
      <c r="AE789" t="n">
        <v>26</v>
      </c>
      <c r="AF789" t="n">
        <v>4</v>
      </c>
      <c r="AG789" t="n">
        <v>11</v>
      </c>
      <c r="AH789" t="n">
        <v>4</v>
      </c>
      <c r="AI789" t="n">
        <v>5</v>
      </c>
      <c r="AJ789" t="n">
        <v>9</v>
      </c>
      <c r="AK789" t="n">
        <v>12</v>
      </c>
      <c r="AL789" t="n">
        <v>1</v>
      </c>
      <c r="AM789" t="n">
        <v>3</v>
      </c>
      <c r="AN789" t="n">
        <v>1</v>
      </c>
      <c r="AO789" t="n">
        <v>1</v>
      </c>
      <c r="AP789" t="inlineStr">
        <is>
          <t>No</t>
        </is>
      </c>
      <c r="AQ789" t="inlineStr">
        <is>
          <t>No</t>
        </is>
      </c>
      <c r="AS789">
        <f>HYPERLINK("https://creighton-primo.hosted.exlibrisgroup.com/primo-explore/search?tab=default_tab&amp;search_scope=EVERYTHING&amp;vid=01CRU&amp;lang=en_US&amp;offset=0&amp;query=any,contains,991003599669702656","Catalog Record")</f>
        <v/>
      </c>
      <c r="AT789">
        <f>HYPERLINK("http://www.worldcat.org/oclc/45209135","WorldCat Record")</f>
        <v/>
      </c>
      <c r="AU789" t="inlineStr">
        <is>
          <t>800362243:eng</t>
        </is>
      </c>
      <c r="AV789" t="inlineStr">
        <is>
          <t>45209135</t>
        </is>
      </c>
      <c r="AW789" t="inlineStr">
        <is>
          <t>991003599669702656</t>
        </is>
      </c>
      <c r="AX789" t="inlineStr">
        <is>
          <t>991003599669702656</t>
        </is>
      </c>
      <c r="AY789" t="inlineStr">
        <is>
          <t>2258969670002656</t>
        </is>
      </c>
      <c r="AZ789" t="inlineStr">
        <is>
          <t>BOOK</t>
        </is>
      </c>
      <c r="BB789" t="inlineStr">
        <is>
          <t>9780415927109</t>
        </is>
      </c>
      <c r="BC789" t="inlineStr">
        <is>
          <t>32285004395074</t>
        </is>
      </c>
      <c r="BD789" t="inlineStr">
        <is>
          <t>893505750</t>
        </is>
      </c>
    </row>
    <row r="790">
      <c r="A790" t="inlineStr">
        <is>
          <t>No</t>
        </is>
      </c>
      <c r="B790" t="inlineStr">
        <is>
          <t>HV6626.2 .S54 1992</t>
        </is>
      </c>
      <c r="C790" t="inlineStr">
        <is>
          <t>0                      HV 6626200S  54          1992</t>
        </is>
      </c>
      <c r="D790" t="inlineStr">
        <is>
          <t>Policing domestic violence : experiments and dilemmas / Lawrence W. Sherman with Janell D. Schmidt and Dennis P. Rogan.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Sherman, Lawrence W.</t>
        </is>
      </c>
      <c r="L790" t="inlineStr">
        <is>
          <t>New York : Free Press ; Toronto : Maxwell Macmillan Canada ; New York : Maxwell Macmillan International, c1992.</t>
        </is>
      </c>
      <c r="M790" t="inlineStr">
        <is>
          <t>1992</t>
        </is>
      </c>
      <c r="O790" t="inlineStr">
        <is>
          <t>eng</t>
        </is>
      </c>
      <c r="P790" t="inlineStr">
        <is>
          <t>nyu</t>
        </is>
      </c>
      <c r="R790" t="inlineStr">
        <is>
          <t xml:space="preserve">HV </t>
        </is>
      </c>
      <c r="S790" t="n">
        <v>26</v>
      </c>
      <c r="T790" t="n">
        <v>26</v>
      </c>
      <c r="U790" t="inlineStr">
        <is>
          <t>2007-11-09</t>
        </is>
      </c>
      <c r="V790" t="inlineStr">
        <is>
          <t>2007-11-09</t>
        </is>
      </c>
      <c r="W790" t="inlineStr">
        <is>
          <t>1993-01-04</t>
        </is>
      </c>
      <c r="X790" t="inlineStr">
        <is>
          <t>1993-01-04</t>
        </is>
      </c>
      <c r="Y790" t="n">
        <v>513</v>
      </c>
      <c r="Z790" t="n">
        <v>429</v>
      </c>
      <c r="AA790" t="n">
        <v>431</v>
      </c>
      <c r="AB790" t="n">
        <v>6</v>
      </c>
      <c r="AC790" t="n">
        <v>6</v>
      </c>
      <c r="AD790" t="n">
        <v>22</v>
      </c>
      <c r="AE790" t="n">
        <v>22</v>
      </c>
      <c r="AF790" t="n">
        <v>4</v>
      </c>
      <c r="AG790" t="n">
        <v>4</v>
      </c>
      <c r="AH790" t="n">
        <v>6</v>
      </c>
      <c r="AI790" t="n">
        <v>6</v>
      </c>
      <c r="AJ790" t="n">
        <v>10</v>
      </c>
      <c r="AK790" t="n">
        <v>10</v>
      </c>
      <c r="AL790" t="n">
        <v>5</v>
      </c>
      <c r="AM790" t="n">
        <v>5</v>
      </c>
      <c r="AN790" t="n">
        <v>2</v>
      </c>
      <c r="AO790" t="n">
        <v>2</v>
      </c>
      <c r="AP790" t="inlineStr">
        <is>
          <t>No</t>
        </is>
      </c>
      <c r="AQ790" t="inlineStr">
        <is>
          <t>Yes</t>
        </is>
      </c>
      <c r="AR790">
        <f>HYPERLINK("http://catalog.hathitrust.org/Record/002570594","HathiTrust Record")</f>
        <v/>
      </c>
      <c r="AS790">
        <f>HYPERLINK("https://creighton-primo.hosted.exlibrisgroup.com/primo-explore/search?tab=default_tab&amp;search_scope=EVERYTHING&amp;vid=01CRU&amp;lang=en_US&amp;offset=0&amp;query=any,contains,991002034579702656","Catalog Record")</f>
        <v/>
      </c>
      <c r="AT790">
        <f>HYPERLINK("http://www.worldcat.org/oclc/25915024","WorldCat Record")</f>
        <v/>
      </c>
      <c r="AU790" t="inlineStr">
        <is>
          <t>292494466:eng</t>
        </is>
      </c>
      <c r="AV790" t="inlineStr">
        <is>
          <t>25915024</t>
        </is>
      </c>
      <c r="AW790" t="inlineStr">
        <is>
          <t>991002034579702656</t>
        </is>
      </c>
      <c r="AX790" t="inlineStr">
        <is>
          <t>991002034579702656</t>
        </is>
      </c>
      <c r="AY790" t="inlineStr">
        <is>
          <t>2269769690002656</t>
        </is>
      </c>
      <c r="AZ790" t="inlineStr">
        <is>
          <t>BOOK</t>
        </is>
      </c>
      <c r="BB790" t="inlineStr">
        <is>
          <t>9780029287316</t>
        </is>
      </c>
      <c r="BC790" t="inlineStr">
        <is>
          <t>32285001404002</t>
        </is>
      </c>
      <c r="BD790" t="inlineStr">
        <is>
          <t>893414749</t>
        </is>
      </c>
    </row>
    <row r="791">
      <c r="A791" t="inlineStr">
        <is>
          <t>No</t>
        </is>
      </c>
      <c r="B791" t="inlineStr">
        <is>
          <t>HV6626.2 .S87 1980</t>
        </is>
      </c>
      <c r="C791" t="inlineStr">
        <is>
          <t>0                      HV 6626200S  87          1980</t>
        </is>
      </c>
      <c r="D791" t="inlineStr">
        <is>
          <t>Behind closed doors : violence in the American family / Murray A. Straus, Richard J. Gelles, Suzanne K. Steinmetz.</t>
        </is>
      </c>
      <c r="F791" t="inlineStr">
        <is>
          <t>No</t>
        </is>
      </c>
      <c r="G791" t="inlineStr">
        <is>
          <t>1</t>
        </is>
      </c>
      <c r="H791" t="inlineStr">
        <is>
          <t>Yes</t>
        </is>
      </c>
      <c r="I791" t="inlineStr">
        <is>
          <t>Yes</t>
        </is>
      </c>
      <c r="J791" t="inlineStr">
        <is>
          <t>0</t>
        </is>
      </c>
      <c r="K791" t="inlineStr">
        <is>
          <t>Straus, Murray A. (Murray Arnold), 1926-</t>
        </is>
      </c>
      <c r="L791" t="inlineStr">
        <is>
          <t>Garden City, N.Y. : Anchor Press/Doubleday, 1980.</t>
        </is>
      </c>
      <c r="M791" t="inlineStr">
        <is>
          <t>1980</t>
        </is>
      </c>
      <c r="N791" t="inlineStr">
        <is>
          <t>1st ed.</t>
        </is>
      </c>
      <c r="O791" t="inlineStr">
        <is>
          <t>eng</t>
        </is>
      </c>
      <c r="P791" t="inlineStr">
        <is>
          <t>nyu</t>
        </is>
      </c>
      <c r="R791" t="inlineStr">
        <is>
          <t xml:space="preserve">HV </t>
        </is>
      </c>
      <c r="S791" t="n">
        <v>16</v>
      </c>
      <c r="T791" t="n">
        <v>24</v>
      </c>
      <c r="U791" t="inlineStr">
        <is>
          <t>1999-11-15</t>
        </is>
      </c>
      <c r="V791" t="inlineStr">
        <is>
          <t>1999-11-15</t>
        </is>
      </c>
      <c r="W791" t="inlineStr">
        <is>
          <t>1992-04-24</t>
        </is>
      </c>
      <c r="X791" t="inlineStr">
        <is>
          <t>1992-04-24</t>
        </is>
      </c>
      <c r="Y791" t="n">
        <v>1430</v>
      </c>
      <c r="Z791" t="n">
        <v>1325</v>
      </c>
      <c r="AA791" t="n">
        <v>1722</v>
      </c>
      <c r="AB791" t="n">
        <v>9</v>
      </c>
      <c r="AC791" t="n">
        <v>13</v>
      </c>
      <c r="AD791" t="n">
        <v>37</v>
      </c>
      <c r="AE791" t="n">
        <v>46</v>
      </c>
      <c r="AF791" t="n">
        <v>16</v>
      </c>
      <c r="AG791" t="n">
        <v>17</v>
      </c>
      <c r="AH791" t="n">
        <v>8</v>
      </c>
      <c r="AI791" t="n">
        <v>10</v>
      </c>
      <c r="AJ791" t="n">
        <v>18</v>
      </c>
      <c r="AK791" t="n">
        <v>21</v>
      </c>
      <c r="AL791" t="n">
        <v>4</v>
      </c>
      <c r="AM791" t="n">
        <v>7</v>
      </c>
      <c r="AN791" t="n">
        <v>0</v>
      </c>
      <c r="AO791" t="n">
        <v>2</v>
      </c>
      <c r="AP791" t="inlineStr">
        <is>
          <t>No</t>
        </is>
      </c>
      <c r="AQ791" t="inlineStr">
        <is>
          <t>No</t>
        </is>
      </c>
      <c r="AS791">
        <f>HYPERLINK("https://creighton-primo.hosted.exlibrisgroup.com/primo-explore/search?tab=default_tab&amp;search_scope=EVERYTHING&amp;vid=01CRU&amp;lang=en_US&amp;offset=0&amp;query=any,contains,991001757569702656","Catalog Record")</f>
        <v/>
      </c>
      <c r="AT791">
        <f>HYPERLINK("http://www.worldcat.org/oclc/5725780","WorldCat Record")</f>
        <v/>
      </c>
      <c r="AU791" t="inlineStr">
        <is>
          <t>455102:eng</t>
        </is>
      </c>
      <c r="AV791" t="inlineStr">
        <is>
          <t>5725780</t>
        </is>
      </c>
      <c r="AW791" t="inlineStr">
        <is>
          <t>991001757569702656</t>
        </is>
      </c>
      <c r="AX791" t="inlineStr">
        <is>
          <t>991001757569702656</t>
        </is>
      </c>
      <c r="AY791" t="inlineStr">
        <is>
          <t>2262376030002656</t>
        </is>
      </c>
      <c r="AZ791" t="inlineStr">
        <is>
          <t>BOOK</t>
        </is>
      </c>
      <c r="BB791" t="inlineStr">
        <is>
          <t>9780385142595</t>
        </is>
      </c>
      <c r="BC791" t="inlineStr">
        <is>
          <t>32285001070852</t>
        </is>
      </c>
      <c r="BD791" t="inlineStr">
        <is>
          <t>893809176</t>
        </is>
      </c>
    </row>
    <row r="792">
      <c r="A792" t="inlineStr">
        <is>
          <t>No</t>
        </is>
      </c>
      <c r="B792" t="inlineStr">
        <is>
          <t>HV6626.22.C2 A27 2008</t>
        </is>
      </c>
      <c r="C792" t="inlineStr">
        <is>
          <t>0                      HV 6626220C  2                  A  27          2008</t>
        </is>
      </c>
      <c r="D792" t="inlineStr">
        <is>
          <t>Bad spirits : a cultural explanation for intimate family violence, inside one American Indian family / by Julie C. Abril.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Abril, Julie C. (Julie Christine)</t>
        </is>
      </c>
      <c r="L792" t="inlineStr">
        <is>
          <t>Newcastle upon Tyne : Cambridge Scholars Publishing, 2008.</t>
        </is>
      </c>
      <c r="M792" t="inlineStr">
        <is>
          <t>2008</t>
        </is>
      </c>
      <c r="O792" t="inlineStr">
        <is>
          <t>eng</t>
        </is>
      </c>
      <c r="P792" t="inlineStr">
        <is>
          <t xml:space="preserve">xx </t>
        </is>
      </c>
      <c r="R792" t="inlineStr">
        <is>
          <t xml:space="preserve">HV </t>
        </is>
      </c>
      <c r="S792" t="n">
        <v>1</v>
      </c>
      <c r="T792" t="n">
        <v>1</v>
      </c>
      <c r="U792" t="inlineStr">
        <is>
          <t>2009-03-16</t>
        </is>
      </c>
      <c r="V792" t="inlineStr">
        <is>
          <t>2009-03-16</t>
        </is>
      </c>
      <c r="W792" t="inlineStr">
        <is>
          <t>2009-03-16</t>
        </is>
      </c>
      <c r="X792" t="inlineStr">
        <is>
          <t>2009-03-16</t>
        </is>
      </c>
      <c r="Y792" t="n">
        <v>30</v>
      </c>
      <c r="Z792" t="n">
        <v>20</v>
      </c>
      <c r="AA792" t="n">
        <v>20</v>
      </c>
      <c r="AB792" t="n">
        <v>1</v>
      </c>
      <c r="AC792" t="n">
        <v>1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0</v>
      </c>
      <c r="AM792" t="n">
        <v>0</v>
      </c>
      <c r="AN792" t="n">
        <v>0</v>
      </c>
      <c r="AO792" t="n">
        <v>0</v>
      </c>
      <c r="AP792" t="inlineStr">
        <is>
          <t>No</t>
        </is>
      </c>
      <c r="AQ792" t="inlineStr">
        <is>
          <t>No</t>
        </is>
      </c>
      <c r="AS792">
        <f>HYPERLINK("https://creighton-primo.hosted.exlibrisgroup.com/primo-explore/search?tab=default_tab&amp;search_scope=EVERYTHING&amp;vid=01CRU&amp;lang=en_US&amp;offset=0&amp;query=any,contains,991005300809702656","Catalog Record")</f>
        <v/>
      </c>
      <c r="AT792">
        <f>HYPERLINK("http://www.worldcat.org/oclc/239844226","WorldCat Record")</f>
        <v/>
      </c>
      <c r="AU792" t="inlineStr">
        <is>
          <t>141234984:eng</t>
        </is>
      </c>
      <c r="AV792" t="inlineStr">
        <is>
          <t>239844226</t>
        </is>
      </c>
      <c r="AW792" t="inlineStr">
        <is>
          <t>991005300809702656</t>
        </is>
      </c>
      <c r="AX792" t="inlineStr">
        <is>
          <t>991005300809702656</t>
        </is>
      </c>
      <c r="AY792" t="inlineStr">
        <is>
          <t>2260834760002656</t>
        </is>
      </c>
      <c r="AZ792" t="inlineStr">
        <is>
          <t>BOOK</t>
        </is>
      </c>
      <c r="BB792" t="inlineStr">
        <is>
          <t>9781847186850</t>
        </is>
      </c>
      <c r="BC792" t="inlineStr">
        <is>
          <t>32285005509343</t>
        </is>
      </c>
      <c r="BD792" t="inlineStr">
        <is>
          <t>893254795</t>
        </is>
      </c>
    </row>
    <row r="793">
      <c r="A793" t="inlineStr">
        <is>
          <t>No</t>
        </is>
      </c>
      <c r="B793" t="inlineStr">
        <is>
          <t>HV6626.23.F7 F4 2005</t>
        </is>
      </c>
      <c r="C793" t="inlineStr">
        <is>
          <t>0                      HV 6626230F  7                  F  4           2005</t>
        </is>
      </c>
      <c r="D793" t="inlineStr">
        <is>
          <t>Violences conjugales : une assistante sociale raconte / Micheline Ferret.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Ferret, Micheline.</t>
        </is>
      </c>
      <c r="L793" t="inlineStr">
        <is>
          <t>Paris : Harmattan, 2005.</t>
        </is>
      </c>
      <c r="M793" t="inlineStr">
        <is>
          <t>2005</t>
        </is>
      </c>
      <c r="O793" t="inlineStr">
        <is>
          <t>fre</t>
        </is>
      </c>
      <c r="P793" t="inlineStr">
        <is>
          <t xml:space="preserve">fr </t>
        </is>
      </c>
      <c r="R793" t="inlineStr">
        <is>
          <t xml:space="preserve">HV </t>
        </is>
      </c>
      <c r="S793" t="n">
        <v>1</v>
      </c>
      <c r="T793" t="n">
        <v>1</v>
      </c>
      <c r="U793" t="inlineStr">
        <is>
          <t>2010-06-14</t>
        </is>
      </c>
      <c r="V793" t="inlineStr">
        <is>
          <t>2010-06-14</t>
        </is>
      </c>
      <c r="W793" t="inlineStr">
        <is>
          <t>2010-06-14</t>
        </is>
      </c>
      <c r="X793" t="inlineStr">
        <is>
          <t>2010-06-14</t>
        </is>
      </c>
      <c r="Y793" t="n">
        <v>3</v>
      </c>
      <c r="Z793" t="n">
        <v>2</v>
      </c>
      <c r="AA793" t="n">
        <v>2</v>
      </c>
      <c r="AB793" t="n">
        <v>1</v>
      </c>
      <c r="AC793" t="n">
        <v>1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0</v>
      </c>
      <c r="AM793" t="n">
        <v>0</v>
      </c>
      <c r="AN793" t="n">
        <v>0</v>
      </c>
      <c r="AO793" t="n">
        <v>0</v>
      </c>
      <c r="AP793" t="inlineStr">
        <is>
          <t>No</t>
        </is>
      </c>
      <c r="AQ793" t="inlineStr">
        <is>
          <t>No</t>
        </is>
      </c>
      <c r="AS793">
        <f>HYPERLINK("https://creighton-primo.hosted.exlibrisgroup.com/primo-explore/search?tab=default_tab&amp;search_scope=EVERYTHING&amp;vid=01CRU&amp;lang=en_US&amp;offset=0&amp;query=any,contains,991005392909702656","Catalog Record")</f>
        <v/>
      </c>
      <c r="AT793">
        <f>HYPERLINK("http://www.worldcat.org/oclc/60740314","WorldCat Record")</f>
        <v/>
      </c>
      <c r="AU793" t="inlineStr">
        <is>
          <t>366393964:fre</t>
        </is>
      </c>
      <c r="AV793" t="inlineStr">
        <is>
          <t>60740314</t>
        </is>
      </c>
      <c r="AW793" t="inlineStr">
        <is>
          <t>991005392909702656</t>
        </is>
      </c>
      <c r="AX793" t="inlineStr">
        <is>
          <t>991005392909702656</t>
        </is>
      </c>
      <c r="AY793" t="inlineStr">
        <is>
          <t>2272464510002656</t>
        </is>
      </c>
      <c r="AZ793" t="inlineStr">
        <is>
          <t>BOOK</t>
        </is>
      </c>
      <c r="BB793" t="inlineStr">
        <is>
          <t>9782747583749</t>
        </is>
      </c>
      <c r="BC793" t="inlineStr">
        <is>
          <t>32285005588206</t>
        </is>
      </c>
      <c r="BD793" t="inlineStr">
        <is>
          <t>893501957</t>
        </is>
      </c>
    </row>
    <row r="794">
      <c r="A794" t="inlineStr">
        <is>
          <t>No</t>
        </is>
      </c>
      <c r="B794" t="inlineStr">
        <is>
          <t>HV6626.23.F7 S68 2007</t>
        </is>
      </c>
      <c r="C794" t="inlineStr">
        <is>
          <t>0                      HV 6626230F  7                  S  68          2007</t>
        </is>
      </c>
      <c r="D794" t="inlineStr">
        <is>
          <t>Les violences conjugales / Kathy Souffron.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Souffron, Kathy.</t>
        </is>
      </c>
      <c r="L794" t="inlineStr">
        <is>
          <t>Toulouse : Milan, publié par l'Association pour la promotion d'initiatives autonomes des femmes, 2007.</t>
        </is>
      </c>
      <c r="M794" t="inlineStr">
        <is>
          <t>2007</t>
        </is>
      </c>
      <c r="N794" t="inlineStr">
        <is>
          <t>Nouvelle éd.</t>
        </is>
      </c>
      <c r="O794" t="inlineStr">
        <is>
          <t>fre</t>
        </is>
      </c>
      <c r="P794" t="inlineStr">
        <is>
          <t xml:space="preserve">fr </t>
        </is>
      </c>
      <c r="Q794" t="inlineStr">
        <is>
          <t>Les essentiels Milan</t>
        </is>
      </c>
      <c r="R794" t="inlineStr">
        <is>
          <t xml:space="preserve">HV </t>
        </is>
      </c>
      <c r="S794" t="n">
        <v>1</v>
      </c>
      <c r="T794" t="n">
        <v>1</v>
      </c>
      <c r="U794" t="inlineStr">
        <is>
          <t>2010-06-14</t>
        </is>
      </c>
      <c r="V794" t="inlineStr">
        <is>
          <t>2010-06-14</t>
        </is>
      </c>
      <c r="W794" t="inlineStr">
        <is>
          <t>2010-06-14</t>
        </is>
      </c>
      <c r="X794" t="inlineStr">
        <is>
          <t>2010-06-14</t>
        </is>
      </c>
      <c r="Y794" t="n">
        <v>2</v>
      </c>
      <c r="Z794" t="n">
        <v>1</v>
      </c>
      <c r="AA794" t="n">
        <v>1</v>
      </c>
      <c r="AB794" t="n">
        <v>1</v>
      </c>
      <c r="AC794" t="n">
        <v>1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0</v>
      </c>
      <c r="AM794" t="n">
        <v>0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HYPERLINK("https://creighton-primo.hosted.exlibrisgroup.com/primo-explore/search?tab=default_tab&amp;search_scope=EVERYTHING&amp;vid=01CRU&amp;lang=en_US&amp;offset=0&amp;query=any,contains,991005392899702656","Catalog Record")</f>
        <v/>
      </c>
      <c r="AT794">
        <f>HYPERLINK("http://www.worldcat.org/oclc/505389199","WorldCat Record")</f>
        <v/>
      </c>
      <c r="AU794" t="inlineStr">
        <is>
          <t>8909782519:fre</t>
        </is>
      </c>
      <c r="AV794" t="inlineStr">
        <is>
          <t>505389199</t>
        </is>
      </c>
      <c r="AW794" t="inlineStr">
        <is>
          <t>991005392899702656</t>
        </is>
      </c>
      <c r="AX794" t="inlineStr">
        <is>
          <t>991005392899702656</t>
        </is>
      </c>
      <c r="AY794" t="inlineStr">
        <is>
          <t>2264180430002656</t>
        </is>
      </c>
      <c r="AZ794" t="inlineStr">
        <is>
          <t>BOOK</t>
        </is>
      </c>
      <c r="BB794" t="inlineStr">
        <is>
          <t>9782745927682</t>
        </is>
      </c>
      <c r="BC794" t="inlineStr">
        <is>
          <t>32285005588149</t>
        </is>
      </c>
      <c r="BD794" t="inlineStr">
        <is>
          <t>893613633</t>
        </is>
      </c>
    </row>
    <row r="795">
      <c r="A795" t="inlineStr">
        <is>
          <t>No</t>
        </is>
      </c>
      <c r="B795" t="inlineStr">
        <is>
          <t>HV6626.3 .E43 1986</t>
        </is>
      </c>
      <c r="C795" t="inlineStr">
        <is>
          <t>0                      HV 6626300E  43          1986</t>
        </is>
      </c>
      <c r="D795" t="inlineStr">
        <is>
          <t>Elder abuse : conflict in the family / edited by Karl A. Pillemer, Rosalie S. Wolf.</t>
        </is>
      </c>
      <c r="F795" t="inlineStr">
        <is>
          <t>No</t>
        </is>
      </c>
      <c r="G795" t="inlineStr">
        <is>
          <t>1</t>
        </is>
      </c>
      <c r="H795" t="inlineStr">
        <is>
          <t>Yes</t>
        </is>
      </c>
      <c r="I795" t="inlineStr">
        <is>
          <t>No</t>
        </is>
      </c>
      <c r="J795" t="inlineStr">
        <is>
          <t>0</t>
        </is>
      </c>
      <c r="L795" t="inlineStr">
        <is>
          <t>Dover, Mass. : Auburn House Pub. Co., c1986.</t>
        </is>
      </c>
      <c r="M795" t="inlineStr">
        <is>
          <t>1986</t>
        </is>
      </c>
      <c r="O795" t="inlineStr">
        <is>
          <t>eng</t>
        </is>
      </c>
      <c r="P795" t="inlineStr">
        <is>
          <t>mau</t>
        </is>
      </c>
      <c r="R795" t="inlineStr">
        <is>
          <t xml:space="preserve">HV </t>
        </is>
      </c>
      <c r="S795" t="n">
        <v>12</v>
      </c>
      <c r="T795" t="n">
        <v>18</v>
      </c>
      <c r="U795" t="inlineStr">
        <is>
          <t>1996-11-18</t>
        </is>
      </c>
      <c r="V795" t="inlineStr">
        <is>
          <t>1996-11-18</t>
        </is>
      </c>
      <c r="W795" t="inlineStr">
        <is>
          <t>1990-04-17</t>
        </is>
      </c>
      <c r="X795" t="inlineStr">
        <is>
          <t>1990-04-17</t>
        </is>
      </c>
      <c r="Y795" t="n">
        <v>852</v>
      </c>
      <c r="Z795" t="n">
        <v>754</v>
      </c>
      <c r="AA795" t="n">
        <v>757</v>
      </c>
      <c r="AB795" t="n">
        <v>7</v>
      </c>
      <c r="AC795" t="n">
        <v>7</v>
      </c>
      <c r="AD795" t="n">
        <v>38</v>
      </c>
      <c r="AE795" t="n">
        <v>38</v>
      </c>
      <c r="AF795" t="n">
        <v>13</v>
      </c>
      <c r="AG795" t="n">
        <v>13</v>
      </c>
      <c r="AH795" t="n">
        <v>7</v>
      </c>
      <c r="AI795" t="n">
        <v>7</v>
      </c>
      <c r="AJ795" t="n">
        <v>16</v>
      </c>
      <c r="AK795" t="n">
        <v>16</v>
      </c>
      <c r="AL795" t="n">
        <v>5</v>
      </c>
      <c r="AM795" t="n">
        <v>5</v>
      </c>
      <c r="AN795" t="n">
        <v>5</v>
      </c>
      <c r="AO795" t="n">
        <v>5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HYPERLINK("http://catalog.hathitrust.org/Record/000590050","HathiTrust Record")</f>
        <v/>
      </c>
      <c r="AS795">
        <f>HYPERLINK("https://creighton-primo.hosted.exlibrisgroup.com/primo-explore/search?tab=default_tab&amp;search_scope=EVERYTHING&amp;vid=01CRU&amp;lang=en_US&amp;offset=0&amp;query=any,contains,991001782909702656","Catalog Record")</f>
        <v/>
      </c>
      <c r="AT795">
        <f>HYPERLINK("http://www.worldcat.org/oclc/13701426","WorldCat Record")</f>
        <v/>
      </c>
      <c r="AU795" t="inlineStr">
        <is>
          <t>894520428:eng</t>
        </is>
      </c>
      <c r="AV795" t="inlineStr">
        <is>
          <t>13701426</t>
        </is>
      </c>
      <c r="AW795" t="inlineStr">
        <is>
          <t>991001782909702656</t>
        </is>
      </c>
      <c r="AX795" t="inlineStr">
        <is>
          <t>991001782909702656</t>
        </is>
      </c>
      <c r="AY795" t="inlineStr">
        <is>
          <t>2264012200002656</t>
        </is>
      </c>
      <c r="AZ795" t="inlineStr">
        <is>
          <t>BOOK</t>
        </is>
      </c>
      <c r="BB795" t="inlineStr">
        <is>
          <t>9780865691339</t>
        </is>
      </c>
      <c r="BC795" t="inlineStr">
        <is>
          <t>32285000122514</t>
        </is>
      </c>
      <c r="BD795" t="inlineStr">
        <is>
          <t>893615378</t>
        </is>
      </c>
    </row>
    <row r="796">
      <c r="A796" t="inlineStr">
        <is>
          <t>No</t>
        </is>
      </c>
      <c r="B796" t="inlineStr">
        <is>
          <t>HV6626.3 .E438 1989</t>
        </is>
      </c>
      <c r="C796" t="inlineStr">
        <is>
          <t>0                      HV 6626300E  438         1989</t>
        </is>
      </c>
      <c r="D796" t="inlineStr">
        <is>
          <t>Elder abuse : practice and policy / edited by Rachel Filinson, Stanley R. Ingman.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New York, N.Y. : Human Sciences Press, c1989.</t>
        </is>
      </c>
      <c r="M796" t="inlineStr">
        <is>
          <t>1989</t>
        </is>
      </c>
      <c r="O796" t="inlineStr">
        <is>
          <t>eng</t>
        </is>
      </c>
      <c r="P796" t="inlineStr">
        <is>
          <t>nyu</t>
        </is>
      </c>
      <c r="R796" t="inlineStr">
        <is>
          <t xml:space="preserve">HV </t>
        </is>
      </c>
      <c r="S796" t="n">
        <v>11</v>
      </c>
      <c r="T796" t="n">
        <v>11</v>
      </c>
      <c r="U796" t="inlineStr">
        <is>
          <t>1997-04-11</t>
        </is>
      </c>
      <c r="V796" t="inlineStr">
        <is>
          <t>1997-04-11</t>
        </is>
      </c>
      <c r="W796" t="inlineStr">
        <is>
          <t>1990-07-17</t>
        </is>
      </c>
      <c r="X796" t="inlineStr">
        <is>
          <t>1990-07-17</t>
        </is>
      </c>
      <c r="Y796" t="n">
        <v>469</v>
      </c>
      <c r="Z796" t="n">
        <v>404</v>
      </c>
      <c r="AA796" t="n">
        <v>413</v>
      </c>
      <c r="AB796" t="n">
        <v>7</v>
      </c>
      <c r="AC796" t="n">
        <v>7</v>
      </c>
      <c r="AD796" t="n">
        <v>24</v>
      </c>
      <c r="AE796" t="n">
        <v>24</v>
      </c>
      <c r="AF796" t="n">
        <v>6</v>
      </c>
      <c r="AG796" t="n">
        <v>6</v>
      </c>
      <c r="AH796" t="n">
        <v>6</v>
      </c>
      <c r="AI796" t="n">
        <v>6</v>
      </c>
      <c r="AJ796" t="n">
        <v>11</v>
      </c>
      <c r="AK796" t="n">
        <v>11</v>
      </c>
      <c r="AL796" t="n">
        <v>6</v>
      </c>
      <c r="AM796" t="n">
        <v>6</v>
      </c>
      <c r="AN796" t="n">
        <v>2</v>
      </c>
      <c r="AO796" t="n">
        <v>2</v>
      </c>
      <c r="AP796" t="inlineStr">
        <is>
          <t>No</t>
        </is>
      </c>
      <c r="AQ796" t="inlineStr">
        <is>
          <t>Yes</t>
        </is>
      </c>
      <c r="AR796">
        <f>HYPERLINK("http://catalog.hathitrust.org/Record/001822306","HathiTrust Record")</f>
        <v/>
      </c>
      <c r="AS796">
        <f>HYPERLINK("https://creighton-primo.hosted.exlibrisgroup.com/primo-explore/search?tab=default_tab&amp;search_scope=EVERYTHING&amp;vid=01CRU&amp;lang=en_US&amp;offset=0&amp;query=any,contains,991001162349702656","Catalog Record")</f>
        <v/>
      </c>
      <c r="AT796">
        <f>HYPERLINK("http://www.worldcat.org/oclc/16901090","WorldCat Record")</f>
        <v/>
      </c>
      <c r="AU796" t="inlineStr">
        <is>
          <t>865284443:eng</t>
        </is>
      </c>
      <c r="AV796" t="inlineStr">
        <is>
          <t>16901090</t>
        </is>
      </c>
      <c r="AW796" t="inlineStr">
        <is>
          <t>991001162349702656</t>
        </is>
      </c>
      <c r="AX796" t="inlineStr">
        <is>
          <t>991001162349702656</t>
        </is>
      </c>
      <c r="AY796" t="inlineStr">
        <is>
          <t>2268367290002656</t>
        </is>
      </c>
      <c r="AZ796" t="inlineStr">
        <is>
          <t>BOOK</t>
        </is>
      </c>
      <c r="BB796" t="inlineStr">
        <is>
          <t>9780898854152</t>
        </is>
      </c>
      <c r="BC796" t="inlineStr">
        <is>
          <t>32285000208750</t>
        </is>
      </c>
      <c r="BD796" t="inlineStr">
        <is>
          <t>893432639</t>
        </is>
      </c>
    </row>
    <row r="797">
      <c r="A797" t="inlineStr">
        <is>
          <t>No</t>
        </is>
      </c>
      <c r="B797" t="inlineStr">
        <is>
          <t>HV6626.3 .M57 1997</t>
        </is>
      </c>
      <c r="C797" t="inlineStr">
        <is>
          <t>0                      HV 6626300M  57          1997</t>
        </is>
      </c>
      <c r="D797" t="inlineStr">
        <is>
          <t>The mistreatment of elderly people / edited by Peter Decalmer and Frank Glendenning.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L797" t="inlineStr">
        <is>
          <t>London ; Thousand Oaks, CA : Sage Publications, 1997.</t>
        </is>
      </c>
      <c r="M797" t="inlineStr">
        <is>
          <t>1997</t>
        </is>
      </c>
      <c r="N797" t="inlineStr">
        <is>
          <t>2nd ed.</t>
        </is>
      </c>
      <c r="O797" t="inlineStr">
        <is>
          <t>eng</t>
        </is>
      </c>
      <c r="P797" t="inlineStr">
        <is>
          <t>enk</t>
        </is>
      </c>
      <c r="R797" t="inlineStr">
        <is>
          <t xml:space="preserve">HV </t>
        </is>
      </c>
      <c r="S797" t="n">
        <v>1</v>
      </c>
      <c r="T797" t="n">
        <v>1</v>
      </c>
      <c r="U797" t="inlineStr">
        <is>
          <t>2008-12-01</t>
        </is>
      </c>
      <c r="V797" t="inlineStr">
        <is>
          <t>2008-12-01</t>
        </is>
      </c>
      <c r="W797" t="inlineStr">
        <is>
          <t>1998-05-05</t>
        </is>
      </c>
      <c r="X797" t="inlineStr">
        <is>
          <t>1998-05-05</t>
        </is>
      </c>
      <c r="Y797" t="n">
        <v>355</v>
      </c>
      <c r="Z797" t="n">
        <v>209</v>
      </c>
      <c r="AA797" t="n">
        <v>397</v>
      </c>
      <c r="AB797" t="n">
        <v>1</v>
      </c>
      <c r="AC797" t="n">
        <v>5</v>
      </c>
      <c r="AD797" t="n">
        <v>11</v>
      </c>
      <c r="AE797" t="n">
        <v>22</v>
      </c>
      <c r="AF797" t="n">
        <v>4</v>
      </c>
      <c r="AG797" t="n">
        <v>9</v>
      </c>
      <c r="AH797" t="n">
        <v>2</v>
      </c>
      <c r="AI797" t="n">
        <v>4</v>
      </c>
      <c r="AJ797" t="n">
        <v>8</v>
      </c>
      <c r="AK797" t="n">
        <v>12</v>
      </c>
      <c r="AL797" t="n">
        <v>0</v>
      </c>
      <c r="AM797" t="n">
        <v>3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HYPERLINK("https://creighton-primo.hosted.exlibrisgroup.com/primo-explore/search?tab=default_tab&amp;search_scope=EVERYTHING&amp;vid=01CRU&amp;lang=en_US&amp;offset=0&amp;query=any,contains,991002843719702656","Catalog Record")</f>
        <v/>
      </c>
      <c r="AT797">
        <f>HYPERLINK("http://www.worldcat.org/oclc/37460140","WorldCat Record")</f>
        <v/>
      </c>
      <c r="AU797" t="inlineStr">
        <is>
          <t>350434312:eng</t>
        </is>
      </c>
      <c r="AV797" t="inlineStr">
        <is>
          <t>37460140</t>
        </is>
      </c>
      <c r="AW797" t="inlineStr">
        <is>
          <t>991002843719702656</t>
        </is>
      </c>
      <c r="AX797" t="inlineStr">
        <is>
          <t>991002843719702656</t>
        </is>
      </c>
      <c r="AY797" t="inlineStr">
        <is>
          <t>2261286050002656</t>
        </is>
      </c>
      <c r="AZ797" t="inlineStr">
        <is>
          <t>BOOK</t>
        </is>
      </c>
      <c r="BB797" t="inlineStr">
        <is>
          <t>9780761952626</t>
        </is>
      </c>
      <c r="BC797" t="inlineStr">
        <is>
          <t>32285003405809</t>
        </is>
      </c>
      <c r="BD797" t="inlineStr">
        <is>
          <t>893692069</t>
        </is>
      </c>
    </row>
    <row r="798">
      <c r="A798" t="inlineStr">
        <is>
          <t>No</t>
        </is>
      </c>
      <c r="B798" t="inlineStr">
        <is>
          <t>HV6626.5 .B47 1990</t>
        </is>
      </c>
      <c r="C798" t="inlineStr">
        <is>
          <t>0                      HV 6626500B  47          1990</t>
        </is>
      </c>
      <c r="D798" t="inlineStr">
        <is>
          <t>Threatened children : rhetoric and concern about child-victims / Joel Best.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Best, Joel.</t>
        </is>
      </c>
      <c r="L798" t="inlineStr">
        <is>
          <t>Chicago : University of Chicago Press, 1990.</t>
        </is>
      </c>
      <c r="M798" t="inlineStr">
        <is>
          <t>1990</t>
        </is>
      </c>
      <c r="O798" t="inlineStr">
        <is>
          <t>eng</t>
        </is>
      </c>
      <c r="P798" t="inlineStr">
        <is>
          <t>ilu</t>
        </is>
      </c>
      <c r="R798" t="inlineStr">
        <is>
          <t xml:space="preserve">HV </t>
        </is>
      </c>
      <c r="S798" t="n">
        <v>28</v>
      </c>
      <c r="T798" t="n">
        <v>28</v>
      </c>
      <c r="U798" t="inlineStr">
        <is>
          <t>2000-10-02</t>
        </is>
      </c>
      <c r="V798" t="inlineStr">
        <is>
          <t>2000-10-02</t>
        </is>
      </c>
      <c r="W798" t="inlineStr">
        <is>
          <t>1990-12-17</t>
        </is>
      </c>
      <c r="X798" t="inlineStr">
        <is>
          <t>1990-12-17</t>
        </is>
      </c>
      <c r="Y798" t="n">
        <v>535</v>
      </c>
      <c r="Z798" t="n">
        <v>451</v>
      </c>
      <c r="AA798" t="n">
        <v>491</v>
      </c>
      <c r="AB798" t="n">
        <v>4</v>
      </c>
      <c r="AC798" t="n">
        <v>4</v>
      </c>
      <c r="AD798" t="n">
        <v>26</v>
      </c>
      <c r="AE798" t="n">
        <v>27</v>
      </c>
      <c r="AF798" t="n">
        <v>7</v>
      </c>
      <c r="AG798" t="n">
        <v>8</v>
      </c>
      <c r="AH798" t="n">
        <v>6</v>
      </c>
      <c r="AI798" t="n">
        <v>6</v>
      </c>
      <c r="AJ798" t="n">
        <v>12</v>
      </c>
      <c r="AK798" t="n">
        <v>12</v>
      </c>
      <c r="AL798" t="n">
        <v>3</v>
      </c>
      <c r="AM798" t="n">
        <v>3</v>
      </c>
      <c r="AN798" t="n">
        <v>3</v>
      </c>
      <c r="AO798" t="n">
        <v>3</v>
      </c>
      <c r="AP798" t="inlineStr">
        <is>
          <t>No</t>
        </is>
      </c>
      <c r="AQ798" t="inlineStr">
        <is>
          <t>No</t>
        </is>
      </c>
      <c r="AS798">
        <f>HYPERLINK("https://creighton-primo.hosted.exlibrisgroup.com/primo-explore/search?tab=default_tab&amp;search_scope=EVERYTHING&amp;vid=01CRU&amp;lang=en_US&amp;offset=0&amp;query=any,contains,991001605169702656","Catalog Record")</f>
        <v/>
      </c>
      <c r="AT798">
        <f>HYPERLINK("http://www.worldcat.org/oclc/20691439","WorldCat Record")</f>
        <v/>
      </c>
      <c r="AU798" t="inlineStr">
        <is>
          <t>328779:eng</t>
        </is>
      </c>
      <c r="AV798" t="inlineStr">
        <is>
          <t>20691439</t>
        </is>
      </c>
      <c r="AW798" t="inlineStr">
        <is>
          <t>991001605169702656</t>
        </is>
      </c>
      <c r="AX798" t="inlineStr">
        <is>
          <t>991001605169702656</t>
        </is>
      </c>
      <c r="AY798" t="inlineStr">
        <is>
          <t>2257946640002656</t>
        </is>
      </c>
      <c r="AZ798" t="inlineStr">
        <is>
          <t>BOOK</t>
        </is>
      </c>
      <c r="BB798" t="inlineStr">
        <is>
          <t>9780226044255</t>
        </is>
      </c>
      <c r="BC798" t="inlineStr">
        <is>
          <t>32285000359579</t>
        </is>
      </c>
      <c r="BD798" t="inlineStr">
        <is>
          <t>893615227</t>
        </is>
      </c>
    </row>
    <row r="799">
      <c r="A799" t="inlineStr">
        <is>
          <t>No</t>
        </is>
      </c>
      <c r="B799" t="inlineStr">
        <is>
          <t>HV6626.5 .B83 1996</t>
        </is>
      </c>
      <c r="C799" t="inlineStr">
        <is>
          <t>0                      HV 6626500B  83          1996</t>
        </is>
      </c>
      <c r="D799" t="inlineStr">
        <is>
          <t>Cycles of child maltreatment : facts, fallacies, and interventions / Ann Buchanan.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Buchanan, Ann.</t>
        </is>
      </c>
      <c r="L799" t="inlineStr">
        <is>
          <t>Chichester ; New York : Wiley, c1996.</t>
        </is>
      </c>
      <c r="M799" t="inlineStr">
        <is>
          <t>1996</t>
        </is>
      </c>
      <c r="O799" t="inlineStr">
        <is>
          <t>eng</t>
        </is>
      </c>
      <c r="P799" t="inlineStr">
        <is>
          <t>enk</t>
        </is>
      </c>
      <c r="Q799" t="inlineStr">
        <is>
          <t>Wiley series in child care and protection</t>
        </is>
      </c>
      <c r="R799" t="inlineStr">
        <is>
          <t xml:space="preserve">HV </t>
        </is>
      </c>
      <c r="S799" t="n">
        <v>17</v>
      </c>
      <c r="T799" t="n">
        <v>17</v>
      </c>
      <c r="U799" t="inlineStr">
        <is>
          <t>2010-03-05</t>
        </is>
      </c>
      <c r="V799" t="inlineStr">
        <is>
          <t>2010-03-05</t>
        </is>
      </c>
      <c r="W799" t="inlineStr">
        <is>
          <t>1997-04-01</t>
        </is>
      </c>
      <c r="X799" t="inlineStr">
        <is>
          <t>1997-04-01</t>
        </is>
      </c>
      <c r="Y799" t="n">
        <v>327</v>
      </c>
      <c r="Z799" t="n">
        <v>211</v>
      </c>
      <c r="AA799" t="n">
        <v>213</v>
      </c>
      <c r="AB799" t="n">
        <v>2</v>
      </c>
      <c r="AC799" t="n">
        <v>2</v>
      </c>
      <c r="AD799" t="n">
        <v>10</v>
      </c>
      <c r="AE799" t="n">
        <v>10</v>
      </c>
      <c r="AF799" t="n">
        <v>4</v>
      </c>
      <c r="AG799" t="n">
        <v>4</v>
      </c>
      <c r="AH799" t="n">
        <v>2</v>
      </c>
      <c r="AI799" t="n">
        <v>2</v>
      </c>
      <c r="AJ799" t="n">
        <v>6</v>
      </c>
      <c r="AK799" t="n">
        <v>6</v>
      </c>
      <c r="AL799" t="n">
        <v>1</v>
      </c>
      <c r="AM799" t="n">
        <v>1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HYPERLINK("http://catalog.hathitrust.org/Record/003100870","HathiTrust Record")</f>
        <v/>
      </c>
      <c r="AS799">
        <f>HYPERLINK("https://creighton-primo.hosted.exlibrisgroup.com/primo-explore/search?tab=default_tab&amp;search_scope=EVERYTHING&amp;vid=01CRU&amp;lang=en_US&amp;offset=0&amp;query=any,contains,991002652469702656","Catalog Record")</f>
        <v/>
      </c>
      <c r="AT799">
        <f>HYPERLINK("http://www.worldcat.org/oclc/34690796","WorldCat Record")</f>
        <v/>
      </c>
      <c r="AU799" t="inlineStr">
        <is>
          <t>346480887:eng</t>
        </is>
      </c>
      <c r="AV799" t="inlineStr">
        <is>
          <t>34690796</t>
        </is>
      </c>
      <c r="AW799" t="inlineStr">
        <is>
          <t>991002652469702656</t>
        </is>
      </c>
      <c r="AX799" t="inlineStr">
        <is>
          <t>991002652469702656</t>
        </is>
      </c>
      <c r="AY799" t="inlineStr">
        <is>
          <t>2257928850002656</t>
        </is>
      </c>
      <c r="AZ799" t="inlineStr">
        <is>
          <t>BOOK</t>
        </is>
      </c>
      <c r="BB799" t="inlineStr">
        <is>
          <t>9780471958895</t>
        </is>
      </c>
      <c r="BC799" t="inlineStr">
        <is>
          <t>32285002477338</t>
        </is>
      </c>
      <c r="BD799" t="inlineStr">
        <is>
          <t>893427831</t>
        </is>
      </c>
    </row>
    <row r="800">
      <c r="A800" t="inlineStr">
        <is>
          <t>No</t>
        </is>
      </c>
      <c r="B800" t="inlineStr">
        <is>
          <t>HV6626.5 .C475 1993</t>
        </is>
      </c>
      <c r="C800" t="inlineStr">
        <is>
          <t>0                      HV 6626500C  475         1993</t>
        </is>
      </c>
      <c r="D800" t="inlineStr">
        <is>
          <t>Child abuse and child abusers : protection and prevention / edited by Lorraine Waterhouse ; foreword by Olive Stevenson.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L800" t="inlineStr">
        <is>
          <t>London : J. Kingsley, c1993.</t>
        </is>
      </c>
      <c r="M800" t="inlineStr">
        <is>
          <t>1993</t>
        </is>
      </c>
      <c r="O800" t="inlineStr">
        <is>
          <t>eng</t>
        </is>
      </c>
      <c r="P800" t="inlineStr">
        <is>
          <t>enk</t>
        </is>
      </c>
      <c r="Q800" t="inlineStr">
        <is>
          <t>Research highlights in social work ; 24</t>
        </is>
      </c>
      <c r="R800" t="inlineStr">
        <is>
          <t xml:space="preserve">HV </t>
        </is>
      </c>
      <c r="S800" t="n">
        <v>40</v>
      </c>
      <c r="T800" t="n">
        <v>40</v>
      </c>
      <c r="U800" t="inlineStr">
        <is>
          <t>2002-10-31</t>
        </is>
      </c>
      <c r="V800" t="inlineStr">
        <is>
          <t>2002-10-31</t>
        </is>
      </c>
      <c r="W800" t="inlineStr">
        <is>
          <t>1993-12-14</t>
        </is>
      </c>
      <c r="X800" t="inlineStr">
        <is>
          <t>1993-12-14</t>
        </is>
      </c>
      <c r="Y800" t="n">
        <v>300</v>
      </c>
      <c r="Z800" t="n">
        <v>144</v>
      </c>
      <c r="AA800" t="n">
        <v>155</v>
      </c>
      <c r="AB800" t="n">
        <v>2</v>
      </c>
      <c r="AC800" t="n">
        <v>2</v>
      </c>
      <c r="AD800" t="n">
        <v>5</v>
      </c>
      <c r="AE800" t="n">
        <v>6</v>
      </c>
      <c r="AF800" t="n">
        <v>0</v>
      </c>
      <c r="AG800" t="n">
        <v>1</v>
      </c>
      <c r="AH800" t="n">
        <v>1</v>
      </c>
      <c r="AI800" t="n">
        <v>1</v>
      </c>
      <c r="AJ800" t="n">
        <v>3</v>
      </c>
      <c r="AK800" t="n">
        <v>4</v>
      </c>
      <c r="AL800" t="n">
        <v>1</v>
      </c>
      <c r="AM800" t="n">
        <v>1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HYPERLINK("http://catalog.hathitrust.org/Record/002737039","HathiTrust Record")</f>
        <v/>
      </c>
      <c r="AS800">
        <f>HYPERLINK("https://creighton-primo.hosted.exlibrisgroup.com/primo-explore/search?tab=default_tab&amp;search_scope=EVERYTHING&amp;vid=01CRU&amp;lang=en_US&amp;offset=0&amp;query=any,contains,991002235829702656","Catalog Record")</f>
        <v/>
      </c>
      <c r="AT800">
        <f>HYPERLINK("http://www.worldcat.org/oclc/28620694","WorldCat Record")</f>
        <v/>
      </c>
      <c r="AU800" t="inlineStr">
        <is>
          <t>836875020:eng</t>
        </is>
      </c>
      <c r="AV800" t="inlineStr">
        <is>
          <t>28620694</t>
        </is>
      </c>
      <c r="AW800" t="inlineStr">
        <is>
          <t>991002235829702656</t>
        </is>
      </c>
      <c r="AX800" t="inlineStr">
        <is>
          <t>991002235829702656</t>
        </is>
      </c>
      <c r="AY800" t="inlineStr">
        <is>
          <t>2262352090002656</t>
        </is>
      </c>
      <c r="AZ800" t="inlineStr">
        <is>
          <t>BOOK</t>
        </is>
      </c>
      <c r="BB800" t="inlineStr">
        <is>
          <t>9781853021336</t>
        </is>
      </c>
      <c r="BC800" t="inlineStr">
        <is>
          <t>32285001815983</t>
        </is>
      </c>
      <c r="BD800" t="inlineStr">
        <is>
          <t>893262166</t>
        </is>
      </c>
    </row>
    <row r="801">
      <c r="A801" t="inlineStr">
        <is>
          <t>No</t>
        </is>
      </c>
      <c r="B801" t="inlineStr">
        <is>
          <t>HV6626.5 .C66 1990</t>
        </is>
      </c>
      <c r="C801" t="inlineStr">
        <is>
          <t>0                      HV 6626500C  66          1990</t>
        </is>
      </c>
      <c r="D801" t="inlineStr">
        <is>
          <t>Combating child abuse : guidelines for cooperation between law enforcement and child protective agencies / by Douglas J. Besharov, rapporteur.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L801" t="inlineStr">
        <is>
          <t>Washington, D.C. : AEI Press, 1990.</t>
        </is>
      </c>
      <c r="M801" t="inlineStr">
        <is>
          <t>1990</t>
        </is>
      </c>
      <c r="O801" t="inlineStr">
        <is>
          <t>eng</t>
        </is>
      </c>
      <c r="P801" t="inlineStr">
        <is>
          <t>dcu</t>
        </is>
      </c>
      <c r="Q801" t="inlineStr">
        <is>
          <t>AEI special analysis ; 90-2</t>
        </is>
      </c>
      <c r="R801" t="inlineStr">
        <is>
          <t xml:space="preserve">HV </t>
        </is>
      </c>
      <c r="S801" t="n">
        <v>9</v>
      </c>
      <c r="T801" t="n">
        <v>9</v>
      </c>
      <c r="U801" t="inlineStr">
        <is>
          <t>2005-10-25</t>
        </is>
      </c>
      <c r="V801" t="inlineStr">
        <is>
          <t>2005-10-25</t>
        </is>
      </c>
      <c r="W801" t="inlineStr">
        <is>
          <t>1996-07-17</t>
        </is>
      </c>
      <c r="X801" t="inlineStr">
        <is>
          <t>1996-07-17</t>
        </is>
      </c>
      <c r="Y801" t="n">
        <v>356</v>
      </c>
      <c r="Z801" t="n">
        <v>338</v>
      </c>
      <c r="AA801" t="n">
        <v>368</v>
      </c>
      <c r="AB801" t="n">
        <v>3</v>
      </c>
      <c r="AC801" t="n">
        <v>3</v>
      </c>
      <c r="AD801" t="n">
        <v>20</v>
      </c>
      <c r="AE801" t="n">
        <v>20</v>
      </c>
      <c r="AF801" t="n">
        <v>4</v>
      </c>
      <c r="AG801" t="n">
        <v>4</v>
      </c>
      <c r="AH801" t="n">
        <v>2</v>
      </c>
      <c r="AI801" t="n">
        <v>2</v>
      </c>
      <c r="AJ801" t="n">
        <v>5</v>
      </c>
      <c r="AK801" t="n">
        <v>5</v>
      </c>
      <c r="AL801" t="n">
        <v>2</v>
      </c>
      <c r="AM801" t="n">
        <v>2</v>
      </c>
      <c r="AN801" t="n">
        <v>9</v>
      </c>
      <c r="AO801" t="n">
        <v>9</v>
      </c>
      <c r="AP801" t="inlineStr">
        <is>
          <t>No</t>
        </is>
      </c>
      <c r="AQ801" t="inlineStr">
        <is>
          <t>Yes</t>
        </is>
      </c>
      <c r="AR801">
        <f>HYPERLINK("http://catalog.hathitrust.org/Record/002448068","HathiTrust Record")</f>
        <v/>
      </c>
      <c r="AS801">
        <f>HYPERLINK("https://creighton-primo.hosted.exlibrisgroup.com/primo-explore/search?tab=default_tab&amp;search_scope=EVERYTHING&amp;vid=01CRU&amp;lang=en_US&amp;offset=0&amp;query=any,contains,991001724709702656","Catalog Record")</f>
        <v/>
      </c>
      <c r="AT801">
        <f>HYPERLINK("http://www.worldcat.org/oclc/21874478","WorldCat Record")</f>
        <v/>
      </c>
      <c r="AU801" t="inlineStr">
        <is>
          <t>23253845:eng</t>
        </is>
      </c>
      <c r="AV801" t="inlineStr">
        <is>
          <t>21874478</t>
        </is>
      </c>
      <c r="AW801" t="inlineStr">
        <is>
          <t>991001724709702656</t>
        </is>
      </c>
      <c r="AX801" t="inlineStr">
        <is>
          <t>991001724709702656</t>
        </is>
      </c>
      <c r="AY801" t="inlineStr">
        <is>
          <t>2270318680002656</t>
        </is>
      </c>
      <c r="AZ801" t="inlineStr">
        <is>
          <t>BOOK</t>
        </is>
      </c>
      <c r="BB801" t="inlineStr">
        <is>
          <t>9780844770031</t>
        </is>
      </c>
      <c r="BC801" t="inlineStr">
        <is>
          <t>32285002213139</t>
        </is>
      </c>
      <c r="BD801" t="inlineStr">
        <is>
          <t>893866425</t>
        </is>
      </c>
    </row>
    <row r="802">
      <c r="A802" t="inlineStr">
        <is>
          <t>No</t>
        </is>
      </c>
      <c r="B802" t="inlineStr">
        <is>
          <t>HV6626.5 .F55 1986</t>
        </is>
      </c>
      <c r="C802" t="inlineStr">
        <is>
          <t>0                      HV 6626500F  55          1986</t>
        </is>
      </c>
      <c r="D802" t="inlineStr">
        <is>
          <t>Children and criminality : the child as victim and perpetrator / Ronald Barri Flowers.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Flowers, R. Barri (Ronald Barri)</t>
        </is>
      </c>
      <c r="L802" t="inlineStr">
        <is>
          <t>New York : Greenwood Press, 1986.</t>
        </is>
      </c>
      <c r="M802" t="inlineStr">
        <is>
          <t>1986</t>
        </is>
      </c>
      <c r="O802" t="inlineStr">
        <is>
          <t>eng</t>
        </is>
      </c>
      <c r="P802" t="inlineStr">
        <is>
          <t>nyu</t>
        </is>
      </c>
      <c r="Q802" t="inlineStr">
        <is>
          <t>Contributions in criminology and penology, 0732-4464 ; no. 13</t>
        </is>
      </c>
      <c r="R802" t="inlineStr">
        <is>
          <t xml:space="preserve">HV </t>
        </is>
      </c>
      <c r="S802" t="n">
        <v>21</v>
      </c>
      <c r="T802" t="n">
        <v>21</v>
      </c>
      <c r="U802" t="inlineStr">
        <is>
          <t>2000-10-02</t>
        </is>
      </c>
      <c r="V802" t="inlineStr">
        <is>
          <t>2000-10-02</t>
        </is>
      </c>
      <c r="W802" t="inlineStr">
        <is>
          <t>1991-11-25</t>
        </is>
      </c>
      <c r="X802" t="inlineStr">
        <is>
          <t>1991-11-25</t>
        </is>
      </c>
      <c r="Y802" t="n">
        <v>431</v>
      </c>
      <c r="Z802" t="n">
        <v>352</v>
      </c>
      <c r="AA802" t="n">
        <v>370</v>
      </c>
      <c r="AB802" t="n">
        <v>3</v>
      </c>
      <c r="AC802" t="n">
        <v>3</v>
      </c>
      <c r="AD802" t="n">
        <v>13</v>
      </c>
      <c r="AE802" t="n">
        <v>13</v>
      </c>
      <c r="AF802" t="n">
        <v>5</v>
      </c>
      <c r="AG802" t="n">
        <v>5</v>
      </c>
      <c r="AH802" t="n">
        <v>2</v>
      </c>
      <c r="AI802" t="n">
        <v>2</v>
      </c>
      <c r="AJ802" t="n">
        <v>7</v>
      </c>
      <c r="AK802" t="n">
        <v>7</v>
      </c>
      <c r="AL802" t="n">
        <v>2</v>
      </c>
      <c r="AM802" t="n">
        <v>2</v>
      </c>
      <c r="AN802" t="n">
        <v>1</v>
      </c>
      <c r="AO802" t="n">
        <v>1</v>
      </c>
      <c r="AP802" t="inlineStr">
        <is>
          <t>No</t>
        </is>
      </c>
      <c r="AQ802" t="inlineStr">
        <is>
          <t>No</t>
        </is>
      </c>
      <c r="AS802">
        <f>HYPERLINK("https://creighton-primo.hosted.exlibrisgroup.com/primo-explore/search?tab=default_tab&amp;search_scope=EVERYTHING&amp;vid=01CRU&amp;lang=en_US&amp;offset=0&amp;query=any,contains,991000854369702656","Catalog Record")</f>
        <v/>
      </c>
      <c r="AT802">
        <f>HYPERLINK("http://www.worldcat.org/oclc/13642934","WorldCat Record")</f>
        <v/>
      </c>
      <c r="AU802" t="inlineStr">
        <is>
          <t>836643413:eng</t>
        </is>
      </c>
      <c r="AV802" t="inlineStr">
        <is>
          <t>13642934</t>
        </is>
      </c>
      <c r="AW802" t="inlineStr">
        <is>
          <t>991000854369702656</t>
        </is>
      </c>
      <c r="AX802" t="inlineStr">
        <is>
          <t>991000854369702656</t>
        </is>
      </c>
      <c r="AY802" t="inlineStr">
        <is>
          <t>2271807460002656</t>
        </is>
      </c>
      <c r="AZ802" t="inlineStr">
        <is>
          <t>BOOK</t>
        </is>
      </c>
      <c r="BB802" t="inlineStr">
        <is>
          <t>9780313251245</t>
        </is>
      </c>
      <c r="BC802" t="inlineStr">
        <is>
          <t>32285000845049</t>
        </is>
      </c>
      <c r="BD802" t="inlineStr">
        <is>
          <t>893772037</t>
        </is>
      </c>
    </row>
    <row r="803">
      <c r="A803" t="inlineStr">
        <is>
          <t>No</t>
        </is>
      </c>
      <c r="B803" t="inlineStr">
        <is>
          <t>HV6626.5 .G37 1986</t>
        </is>
      </c>
      <c r="C803" t="inlineStr">
        <is>
          <t>0                      HV 6626500G  37          1986</t>
        </is>
      </c>
      <c r="D803" t="inlineStr">
        <is>
          <t>The psychologically battered child / James Garbarino, Edna Guttmann, Janis Wilson Seeley.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Garbarino, James.</t>
        </is>
      </c>
      <c r="L803" t="inlineStr">
        <is>
          <t>San Francisco : Jossey-Bass, 1986.</t>
        </is>
      </c>
      <c r="M803" t="inlineStr">
        <is>
          <t>1986</t>
        </is>
      </c>
      <c r="N803" t="inlineStr">
        <is>
          <t>1st ed.</t>
        </is>
      </c>
      <c r="O803" t="inlineStr">
        <is>
          <t>eng</t>
        </is>
      </c>
      <c r="P803" t="inlineStr">
        <is>
          <t>cau</t>
        </is>
      </c>
      <c r="Q803" t="inlineStr">
        <is>
          <t>The Jossey-Bass social and behavioral science series</t>
        </is>
      </c>
      <c r="R803" t="inlineStr">
        <is>
          <t xml:space="preserve">HV </t>
        </is>
      </c>
      <c r="S803" t="n">
        <v>29</v>
      </c>
      <c r="T803" t="n">
        <v>29</v>
      </c>
      <c r="U803" t="inlineStr">
        <is>
          <t>2007-02-28</t>
        </is>
      </c>
      <c r="V803" t="inlineStr">
        <is>
          <t>2007-02-28</t>
        </is>
      </c>
      <c r="W803" t="inlineStr">
        <is>
          <t>1990-04-23</t>
        </is>
      </c>
      <c r="X803" t="inlineStr">
        <is>
          <t>1990-04-23</t>
        </is>
      </c>
      <c r="Y803" t="n">
        <v>994</v>
      </c>
      <c r="Z803" t="n">
        <v>865</v>
      </c>
      <c r="AA803" t="n">
        <v>881</v>
      </c>
      <c r="AB803" t="n">
        <v>8</v>
      </c>
      <c r="AC803" t="n">
        <v>8</v>
      </c>
      <c r="AD803" t="n">
        <v>31</v>
      </c>
      <c r="AE803" t="n">
        <v>31</v>
      </c>
      <c r="AF803" t="n">
        <v>14</v>
      </c>
      <c r="AG803" t="n">
        <v>14</v>
      </c>
      <c r="AH803" t="n">
        <v>5</v>
      </c>
      <c r="AI803" t="n">
        <v>5</v>
      </c>
      <c r="AJ803" t="n">
        <v>13</v>
      </c>
      <c r="AK803" t="n">
        <v>13</v>
      </c>
      <c r="AL803" t="n">
        <v>6</v>
      </c>
      <c r="AM803" t="n">
        <v>6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HYPERLINK("http://catalog.hathitrust.org/Record/000554982","HathiTrust Record")</f>
        <v/>
      </c>
      <c r="AS803">
        <f>HYPERLINK("https://creighton-primo.hosted.exlibrisgroup.com/primo-explore/search?tab=default_tab&amp;search_scope=EVERYTHING&amp;vid=01CRU&amp;lang=en_US&amp;offset=0&amp;query=any,contains,991000857049702656","Catalog Record")</f>
        <v/>
      </c>
      <c r="AT803">
        <f>HYPERLINK("http://www.worldcat.org/oclc/13665540","WorldCat Record")</f>
        <v/>
      </c>
      <c r="AU803" t="inlineStr">
        <is>
          <t>862328:eng</t>
        </is>
      </c>
      <c r="AV803" t="inlineStr">
        <is>
          <t>13665540</t>
        </is>
      </c>
      <c r="AW803" t="inlineStr">
        <is>
          <t>991000857049702656</t>
        </is>
      </c>
      <c r="AX803" t="inlineStr">
        <is>
          <t>991000857049702656</t>
        </is>
      </c>
      <c r="AY803" t="inlineStr">
        <is>
          <t>2269978660002656</t>
        </is>
      </c>
      <c r="AZ803" t="inlineStr">
        <is>
          <t>BOOK</t>
        </is>
      </c>
      <c r="BB803" t="inlineStr">
        <is>
          <t>9781555420024</t>
        </is>
      </c>
      <c r="BC803" t="inlineStr">
        <is>
          <t>32285000130830</t>
        </is>
      </c>
      <c r="BD803" t="inlineStr">
        <is>
          <t>893237669</t>
        </is>
      </c>
    </row>
    <row r="804">
      <c r="A804" t="inlineStr">
        <is>
          <t>No</t>
        </is>
      </c>
      <c r="B804" t="inlineStr">
        <is>
          <t>HV6626.5 .G53 1988</t>
        </is>
      </c>
      <c r="C804" t="inlineStr">
        <is>
          <t>0                      HV 6626500G  53          1988</t>
        </is>
      </c>
      <c r="D804" t="inlineStr">
        <is>
          <t>Child sexual abuse / Danya Glaser and Stephen Frosh.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Glaser, Danya.</t>
        </is>
      </c>
      <c r="L804" t="inlineStr">
        <is>
          <t>Chicago, IL : Dorsey Press, 1988.</t>
        </is>
      </c>
      <c r="M804" t="inlineStr">
        <is>
          <t>1988</t>
        </is>
      </c>
      <c r="O804" t="inlineStr">
        <is>
          <t>eng</t>
        </is>
      </c>
      <c r="P804" t="inlineStr">
        <is>
          <t>ilu</t>
        </is>
      </c>
      <c r="R804" t="inlineStr">
        <is>
          <t xml:space="preserve">HV </t>
        </is>
      </c>
      <c r="S804" t="n">
        <v>15</v>
      </c>
      <c r="T804" t="n">
        <v>15</v>
      </c>
      <c r="U804" t="inlineStr">
        <is>
          <t>2009-12-01</t>
        </is>
      </c>
      <c r="V804" t="inlineStr">
        <is>
          <t>2009-12-01</t>
        </is>
      </c>
      <c r="W804" t="inlineStr">
        <is>
          <t>1989-11-07</t>
        </is>
      </c>
      <c r="X804" t="inlineStr">
        <is>
          <t>1989-11-07</t>
        </is>
      </c>
      <c r="Y804" t="n">
        <v>198</v>
      </c>
      <c r="Z804" t="n">
        <v>168</v>
      </c>
      <c r="AA804" t="n">
        <v>322</v>
      </c>
      <c r="AB804" t="n">
        <v>3</v>
      </c>
      <c r="AC804" t="n">
        <v>4</v>
      </c>
      <c r="AD804" t="n">
        <v>8</v>
      </c>
      <c r="AE804" t="n">
        <v>17</v>
      </c>
      <c r="AF804" t="n">
        <v>3</v>
      </c>
      <c r="AG804" t="n">
        <v>4</v>
      </c>
      <c r="AH804" t="n">
        <v>1</v>
      </c>
      <c r="AI804" t="n">
        <v>3</v>
      </c>
      <c r="AJ804" t="n">
        <v>5</v>
      </c>
      <c r="AK804" t="n">
        <v>9</v>
      </c>
      <c r="AL804" t="n">
        <v>2</v>
      </c>
      <c r="AM804" t="n">
        <v>3</v>
      </c>
      <c r="AN804" t="n">
        <v>0</v>
      </c>
      <c r="AO804" t="n">
        <v>2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HYPERLINK("http://catalog.hathitrust.org/Record/002704308","HathiTrust Record")</f>
        <v/>
      </c>
      <c r="AS804">
        <f>HYPERLINK("https://creighton-primo.hosted.exlibrisgroup.com/primo-explore/search?tab=default_tab&amp;search_scope=EVERYTHING&amp;vid=01CRU&amp;lang=en_US&amp;offset=0&amp;query=any,contains,991001438029702656","Catalog Record")</f>
        <v/>
      </c>
      <c r="AT804">
        <f>HYPERLINK("http://www.worldcat.org/oclc/19210471","WorldCat Record")</f>
        <v/>
      </c>
      <c r="AU804" t="inlineStr">
        <is>
          <t>351581:eng</t>
        </is>
      </c>
      <c r="AV804" t="inlineStr">
        <is>
          <t>19210471</t>
        </is>
      </c>
      <c r="AW804" t="inlineStr">
        <is>
          <t>991001438029702656</t>
        </is>
      </c>
      <c r="AX804" t="inlineStr">
        <is>
          <t>991001438029702656</t>
        </is>
      </c>
      <c r="AY804" t="inlineStr">
        <is>
          <t>2261435130002656</t>
        </is>
      </c>
      <c r="AZ804" t="inlineStr">
        <is>
          <t>BOOK</t>
        </is>
      </c>
      <c r="BB804" t="inlineStr">
        <is>
          <t>9780256071252</t>
        </is>
      </c>
      <c r="BC804" t="inlineStr">
        <is>
          <t>32285000012145</t>
        </is>
      </c>
      <c r="BD804" t="inlineStr">
        <is>
          <t>893238124</t>
        </is>
      </c>
    </row>
    <row r="805">
      <c r="A805" t="inlineStr">
        <is>
          <t>No</t>
        </is>
      </c>
      <c r="B805" t="inlineStr">
        <is>
          <t>HV6626.5 .G64 1985</t>
        </is>
      </c>
      <c r="C805" t="inlineStr">
        <is>
          <t>0                      HV 6626500G  64          1985</t>
        </is>
      </c>
      <c r="D805" t="inlineStr">
        <is>
          <t>Changing the abusive parent / Arnold P. Goldstein, Harold Keller, Diane Erné.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Goldstein, Arnold P.</t>
        </is>
      </c>
      <c r="L805" t="inlineStr">
        <is>
          <t>Champaign, Ill. : Research Press, c1985.</t>
        </is>
      </c>
      <c r="M805" t="inlineStr">
        <is>
          <t>1985</t>
        </is>
      </c>
      <c r="O805" t="inlineStr">
        <is>
          <t>eng</t>
        </is>
      </c>
      <c r="P805" t="inlineStr">
        <is>
          <t>ilu</t>
        </is>
      </c>
      <c r="R805" t="inlineStr">
        <is>
          <t xml:space="preserve">HV </t>
        </is>
      </c>
      <c r="S805" t="n">
        <v>22</v>
      </c>
      <c r="T805" t="n">
        <v>22</v>
      </c>
      <c r="U805" t="inlineStr">
        <is>
          <t>1997-10-15</t>
        </is>
      </c>
      <c r="V805" t="inlineStr">
        <is>
          <t>1997-10-15</t>
        </is>
      </c>
      <c r="W805" t="inlineStr">
        <is>
          <t>1990-04-23</t>
        </is>
      </c>
      <c r="X805" t="inlineStr">
        <is>
          <t>1990-04-23</t>
        </is>
      </c>
      <c r="Y805" t="n">
        <v>395</v>
      </c>
      <c r="Z805" t="n">
        <v>326</v>
      </c>
      <c r="AA805" t="n">
        <v>328</v>
      </c>
      <c r="AB805" t="n">
        <v>3</v>
      </c>
      <c r="AC805" t="n">
        <v>3</v>
      </c>
      <c r="AD805" t="n">
        <v>14</v>
      </c>
      <c r="AE805" t="n">
        <v>14</v>
      </c>
      <c r="AF805" t="n">
        <v>3</v>
      </c>
      <c r="AG805" t="n">
        <v>3</v>
      </c>
      <c r="AH805" t="n">
        <v>2</v>
      </c>
      <c r="AI805" t="n">
        <v>2</v>
      </c>
      <c r="AJ805" t="n">
        <v>9</v>
      </c>
      <c r="AK805" t="n">
        <v>9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HYPERLINK("http://catalog.hathitrust.org/Record/000657756","HathiTrust Record")</f>
        <v/>
      </c>
      <c r="AS805">
        <f>HYPERLINK("https://creighton-primo.hosted.exlibrisgroup.com/primo-explore/search?tab=default_tab&amp;search_scope=EVERYTHING&amp;vid=01CRU&amp;lang=en_US&amp;offset=0&amp;query=any,contains,991000772189702656","Catalog Record")</f>
        <v/>
      </c>
      <c r="AT805">
        <f>HYPERLINK("http://www.worldcat.org/oclc/13029636","WorldCat Record")</f>
        <v/>
      </c>
      <c r="AU805" t="inlineStr">
        <is>
          <t>5698066:eng</t>
        </is>
      </c>
      <c r="AV805" t="inlineStr">
        <is>
          <t>13029636</t>
        </is>
      </c>
      <c r="AW805" t="inlineStr">
        <is>
          <t>991000772189702656</t>
        </is>
      </c>
      <c r="AX805" t="inlineStr">
        <is>
          <t>991000772189702656</t>
        </is>
      </c>
      <c r="AY805" t="inlineStr">
        <is>
          <t>2260069460002656</t>
        </is>
      </c>
      <c r="AZ805" t="inlineStr">
        <is>
          <t>BOOK</t>
        </is>
      </c>
      <c r="BB805" t="inlineStr">
        <is>
          <t>9780878222469</t>
        </is>
      </c>
      <c r="BC805" t="inlineStr">
        <is>
          <t>32285000130848</t>
        </is>
      </c>
      <c r="BD805" t="inlineStr">
        <is>
          <t>893771949</t>
        </is>
      </c>
    </row>
    <row r="806">
      <c r="A806" t="inlineStr">
        <is>
          <t>No</t>
        </is>
      </c>
      <c r="B806" t="inlineStr">
        <is>
          <t>HV6626.5 .L39 1990</t>
        </is>
      </c>
      <c r="C806" t="inlineStr">
        <is>
          <t>0                      HV 6626500L  39          1990</t>
        </is>
      </c>
      <c r="D806" t="inlineStr">
        <is>
          <t>Child abuse / by Richard Layman.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Layman, Richard, 1947-</t>
        </is>
      </c>
      <c r="L806" t="inlineStr">
        <is>
          <t>Detroit, MI : Omnigraphics, c1990.</t>
        </is>
      </c>
      <c r="M806" t="inlineStr">
        <is>
          <t>1990</t>
        </is>
      </c>
      <c r="O806" t="inlineStr">
        <is>
          <t>eng</t>
        </is>
      </c>
      <c r="P806" t="inlineStr">
        <is>
          <t>miu</t>
        </is>
      </c>
      <c r="Q806" t="inlineStr">
        <is>
          <t>Current issues ; v. 1</t>
        </is>
      </c>
      <c r="R806" t="inlineStr">
        <is>
          <t xml:space="preserve">HV </t>
        </is>
      </c>
      <c r="S806" t="n">
        <v>22</v>
      </c>
      <c r="T806" t="n">
        <v>22</v>
      </c>
      <c r="U806" t="inlineStr">
        <is>
          <t>2004-12-09</t>
        </is>
      </c>
      <c r="V806" t="inlineStr">
        <is>
          <t>2004-12-09</t>
        </is>
      </c>
      <c r="W806" t="inlineStr">
        <is>
          <t>1996-07-30</t>
        </is>
      </c>
      <c r="X806" t="inlineStr">
        <is>
          <t>1996-07-30</t>
        </is>
      </c>
      <c r="Y806" t="n">
        <v>363</v>
      </c>
      <c r="Z806" t="n">
        <v>336</v>
      </c>
      <c r="AA806" t="n">
        <v>343</v>
      </c>
      <c r="AB806" t="n">
        <v>2</v>
      </c>
      <c r="AC806" t="n">
        <v>2</v>
      </c>
      <c r="AD806" t="n">
        <v>10</v>
      </c>
      <c r="AE806" t="n">
        <v>10</v>
      </c>
      <c r="AF806" t="n">
        <v>2</v>
      </c>
      <c r="AG806" t="n">
        <v>2</v>
      </c>
      <c r="AH806" t="n">
        <v>3</v>
      </c>
      <c r="AI806" t="n">
        <v>3</v>
      </c>
      <c r="AJ806" t="n">
        <v>5</v>
      </c>
      <c r="AK806" t="n">
        <v>5</v>
      </c>
      <c r="AL806" t="n">
        <v>1</v>
      </c>
      <c r="AM806" t="n">
        <v>1</v>
      </c>
      <c r="AN806" t="n">
        <v>1</v>
      </c>
      <c r="AO806" t="n">
        <v>1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HYPERLINK("http://catalog.hathitrust.org/Record/002487481","HathiTrust Record")</f>
        <v/>
      </c>
      <c r="AS806">
        <f>HYPERLINK("https://creighton-primo.hosted.exlibrisgroup.com/primo-explore/search?tab=default_tab&amp;search_scope=EVERYTHING&amp;vid=01CRU&amp;lang=en_US&amp;offset=0&amp;query=any,contains,991001780219702656","Catalog Record")</f>
        <v/>
      </c>
      <c r="AT806">
        <f>HYPERLINK("http://www.worldcat.org/oclc/22452471","WorldCat Record")</f>
        <v/>
      </c>
      <c r="AU806" t="inlineStr">
        <is>
          <t>23898487:eng</t>
        </is>
      </c>
      <c r="AV806" t="inlineStr">
        <is>
          <t>22452471</t>
        </is>
      </c>
      <c r="AW806" t="inlineStr">
        <is>
          <t>991001780219702656</t>
        </is>
      </c>
      <c r="AX806" t="inlineStr">
        <is>
          <t>991001780219702656</t>
        </is>
      </c>
      <c r="AY806" t="inlineStr">
        <is>
          <t>2260293240002656</t>
        </is>
      </c>
      <c r="AZ806" t="inlineStr">
        <is>
          <t>BOOK</t>
        </is>
      </c>
      <c r="BB806" t="inlineStr">
        <is>
          <t>9781558882713</t>
        </is>
      </c>
      <c r="BC806" t="inlineStr">
        <is>
          <t>32285002208899</t>
        </is>
      </c>
      <c r="BD806" t="inlineStr">
        <is>
          <t>893885541</t>
        </is>
      </c>
    </row>
    <row r="807">
      <c r="A807" t="inlineStr">
        <is>
          <t>No</t>
        </is>
      </c>
      <c r="B807" t="inlineStr">
        <is>
          <t>HV6626.5 .M34 1987</t>
        </is>
      </c>
      <c r="C807" t="inlineStr">
        <is>
          <t>0                      HV 6626500M  34          1987</t>
        </is>
      </c>
      <c r="D807" t="inlineStr">
        <is>
          <t>Counseling abused children / by Emily Jean McFadden.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McFadden, Emily Jean.</t>
        </is>
      </c>
      <c r="L807" t="inlineStr">
        <is>
          <t>Ann Arbor, Mich. : ERIC Counseling and Personnel Services Clearinghouse, 1987.</t>
        </is>
      </c>
      <c r="M807" t="inlineStr">
        <is>
          <t>1987</t>
        </is>
      </c>
      <c r="O807" t="inlineStr">
        <is>
          <t>eng</t>
        </is>
      </c>
      <c r="P807" t="inlineStr">
        <is>
          <t>miu</t>
        </is>
      </c>
      <c r="R807" t="inlineStr">
        <is>
          <t xml:space="preserve">HV </t>
        </is>
      </c>
      <c r="S807" t="n">
        <v>17</v>
      </c>
      <c r="T807" t="n">
        <v>17</v>
      </c>
      <c r="U807" t="inlineStr">
        <is>
          <t>2000-04-06</t>
        </is>
      </c>
      <c r="V807" t="inlineStr">
        <is>
          <t>2000-04-06</t>
        </is>
      </c>
      <c r="W807" t="inlineStr">
        <is>
          <t>1991-11-25</t>
        </is>
      </c>
      <c r="X807" t="inlineStr">
        <is>
          <t>1991-11-25</t>
        </is>
      </c>
      <c r="Y807" t="n">
        <v>63</v>
      </c>
      <c r="Z807" t="n">
        <v>61</v>
      </c>
      <c r="AA807" t="n">
        <v>123</v>
      </c>
      <c r="AB807" t="n">
        <v>1</v>
      </c>
      <c r="AC807" t="n">
        <v>2</v>
      </c>
      <c r="AD807" t="n">
        <v>1</v>
      </c>
      <c r="AE807" t="n">
        <v>4</v>
      </c>
      <c r="AF807" t="n">
        <v>0</v>
      </c>
      <c r="AG807" t="n">
        <v>1</v>
      </c>
      <c r="AH807" t="n">
        <v>1</v>
      </c>
      <c r="AI807" t="n">
        <v>1</v>
      </c>
      <c r="AJ807" t="n">
        <v>1</v>
      </c>
      <c r="AK807" t="n">
        <v>2</v>
      </c>
      <c r="AL807" t="n">
        <v>0</v>
      </c>
      <c r="AM807" t="n">
        <v>1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HYPERLINK("https://creighton-primo.hosted.exlibrisgroup.com/primo-explore/search?tab=default_tab&amp;search_scope=EVERYTHING&amp;vid=01CRU&amp;lang=en_US&amp;offset=0&amp;query=any,contains,991001406659702656","Catalog Record")</f>
        <v/>
      </c>
      <c r="AT807">
        <f>HYPERLINK("http://www.worldcat.org/oclc/18845418","WorldCat Record")</f>
        <v/>
      </c>
      <c r="AU807" t="inlineStr">
        <is>
          <t>6002942:eng</t>
        </is>
      </c>
      <c r="AV807" t="inlineStr">
        <is>
          <t>18845418</t>
        </is>
      </c>
      <c r="AW807" t="inlineStr">
        <is>
          <t>991001406659702656</t>
        </is>
      </c>
      <c r="AX807" t="inlineStr">
        <is>
          <t>991001406659702656</t>
        </is>
      </c>
      <c r="AY807" t="inlineStr">
        <is>
          <t>2271996300002656</t>
        </is>
      </c>
      <c r="AZ807" t="inlineStr">
        <is>
          <t>BOOK</t>
        </is>
      </c>
      <c r="BC807" t="inlineStr">
        <is>
          <t>32285000845031</t>
        </is>
      </c>
      <c r="BD807" t="inlineStr">
        <is>
          <t>893420308</t>
        </is>
      </c>
    </row>
    <row r="808">
      <c r="A808" t="inlineStr">
        <is>
          <t>No</t>
        </is>
      </c>
      <c r="B808" t="inlineStr">
        <is>
          <t>HV6626.5 .T68 1987</t>
        </is>
      </c>
      <c r="C808" t="inlineStr">
        <is>
          <t>0                      HV 6626500T  68          1987</t>
        </is>
      </c>
      <c r="D808" t="inlineStr">
        <is>
          <t>How schools can help combat child abuse and neglect / Cynthia Crosson Tower.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Crosson-Tower, Cynthia.</t>
        </is>
      </c>
      <c r="L808" t="inlineStr">
        <is>
          <t>Washington, D.C. : NEA Professional Library, National Education Association, 1987.</t>
        </is>
      </c>
      <c r="M808" t="inlineStr">
        <is>
          <t>1987</t>
        </is>
      </c>
      <c r="N808" t="inlineStr">
        <is>
          <t>2nd ed.</t>
        </is>
      </c>
      <c r="O808" t="inlineStr">
        <is>
          <t>eng</t>
        </is>
      </c>
      <c r="P808" t="inlineStr">
        <is>
          <t>dcu</t>
        </is>
      </c>
      <c r="Q808" t="inlineStr">
        <is>
          <t>How schools can help combat series</t>
        </is>
      </c>
      <c r="R808" t="inlineStr">
        <is>
          <t xml:space="preserve">HV </t>
        </is>
      </c>
      <c r="S808" t="n">
        <v>13</v>
      </c>
      <c r="T808" t="n">
        <v>13</v>
      </c>
      <c r="U808" t="inlineStr">
        <is>
          <t>2003-10-01</t>
        </is>
      </c>
      <c r="V808" t="inlineStr">
        <is>
          <t>2003-10-01</t>
        </is>
      </c>
      <c r="W808" t="inlineStr">
        <is>
          <t>1991-11-25</t>
        </is>
      </c>
      <c r="X808" t="inlineStr">
        <is>
          <t>1991-11-25</t>
        </is>
      </c>
      <c r="Y808" t="n">
        <v>458</v>
      </c>
      <c r="Z808" t="n">
        <v>438</v>
      </c>
      <c r="AA808" t="n">
        <v>647</v>
      </c>
      <c r="AB808" t="n">
        <v>4</v>
      </c>
      <c r="AC808" t="n">
        <v>6</v>
      </c>
      <c r="AD808" t="n">
        <v>11</v>
      </c>
      <c r="AE808" t="n">
        <v>19</v>
      </c>
      <c r="AF808" t="n">
        <v>5</v>
      </c>
      <c r="AG808" t="n">
        <v>8</v>
      </c>
      <c r="AH808" t="n">
        <v>2</v>
      </c>
      <c r="AI808" t="n">
        <v>3</v>
      </c>
      <c r="AJ808" t="n">
        <v>6</v>
      </c>
      <c r="AK808" t="n">
        <v>8</v>
      </c>
      <c r="AL808" t="n">
        <v>3</v>
      </c>
      <c r="AM808" t="n">
        <v>5</v>
      </c>
      <c r="AN808" t="n">
        <v>0</v>
      </c>
      <c r="AO808" t="n">
        <v>1</v>
      </c>
      <c r="AP808" t="inlineStr">
        <is>
          <t>No</t>
        </is>
      </c>
      <c r="AQ808" t="inlineStr">
        <is>
          <t>No</t>
        </is>
      </c>
      <c r="AS808">
        <f>HYPERLINK("https://creighton-primo.hosted.exlibrisgroup.com/primo-explore/search?tab=default_tab&amp;search_scope=EVERYTHING&amp;vid=01CRU&amp;lang=en_US&amp;offset=0&amp;query=any,contains,991000976499702656","Catalog Record")</f>
        <v/>
      </c>
      <c r="AT808">
        <f>HYPERLINK("http://www.worldcat.org/oclc/15016312","WorldCat Record")</f>
        <v/>
      </c>
      <c r="AU808" t="inlineStr">
        <is>
          <t>3855295387:eng</t>
        </is>
      </c>
      <c r="AV808" t="inlineStr">
        <is>
          <t>15016312</t>
        </is>
      </c>
      <c r="AW808" t="inlineStr">
        <is>
          <t>991000976499702656</t>
        </is>
      </c>
      <c r="AX808" t="inlineStr">
        <is>
          <t>991000976499702656</t>
        </is>
      </c>
      <c r="AY808" t="inlineStr">
        <is>
          <t>2264403260002656</t>
        </is>
      </c>
      <c r="AZ808" t="inlineStr">
        <is>
          <t>BOOK</t>
        </is>
      </c>
      <c r="BB808" t="inlineStr">
        <is>
          <t>9780810632950</t>
        </is>
      </c>
      <c r="BC808" t="inlineStr">
        <is>
          <t>32285000845023</t>
        </is>
      </c>
      <c r="BD808" t="inlineStr">
        <is>
          <t>893772188</t>
        </is>
      </c>
    </row>
    <row r="809">
      <c r="A809" t="inlineStr">
        <is>
          <t>No</t>
        </is>
      </c>
      <c r="B809" t="inlineStr">
        <is>
          <t>HV6626.52 .D65 1992</t>
        </is>
      </c>
      <c r="C809" t="inlineStr">
        <is>
          <t>0                      HV 6626520D  65          1992</t>
        </is>
      </c>
      <c r="D809" t="inlineStr">
        <is>
          <t>Child abuse / Edward F. Dolan.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Dolan, Edward F., 1924-2010.</t>
        </is>
      </c>
      <c r="L809" t="inlineStr">
        <is>
          <t>New York : F. Watts, c1992.</t>
        </is>
      </c>
      <c r="M809" t="inlineStr">
        <is>
          <t>1992</t>
        </is>
      </c>
      <c r="N809" t="inlineStr">
        <is>
          <t>Rev. ed.</t>
        </is>
      </c>
      <c r="O809" t="inlineStr">
        <is>
          <t>eng</t>
        </is>
      </c>
      <c r="P809" t="inlineStr">
        <is>
          <t>nyu</t>
        </is>
      </c>
      <c r="R809" t="inlineStr">
        <is>
          <t xml:space="preserve">HV </t>
        </is>
      </c>
      <c r="S809" t="n">
        <v>25</v>
      </c>
      <c r="T809" t="n">
        <v>25</v>
      </c>
      <c r="U809" t="inlineStr">
        <is>
          <t>2009-12-01</t>
        </is>
      </c>
      <c r="V809" t="inlineStr">
        <is>
          <t>2009-12-01</t>
        </is>
      </c>
      <c r="W809" t="inlineStr">
        <is>
          <t>1996-08-20</t>
        </is>
      </c>
      <c r="X809" t="inlineStr">
        <is>
          <t>1996-08-20</t>
        </is>
      </c>
      <c r="Y809" t="n">
        <v>364</v>
      </c>
      <c r="Z809" t="n">
        <v>344</v>
      </c>
      <c r="AA809" t="n">
        <v>915</v>
      </c>
      <c r="AB809" t="n">
        <v>5</v>
      </c>
      <c r="AC809" t="n">
        <v>10</v>
      </c>
      <c r="AD809" t="n">
        <v>1</v>
      </c>
      <c r="AE809" t="n">
        <v>8</v>
      </c>
      <c r="AF809" t="n">
        <v>0</v>
      </c>
      <c r="AG809" t="n">
        <v>1</v>
      </c>
      <c r="AH809" t="n">
        <v>1</v>
      </c>
      <c r="AI809" t="n">
        <v>2</v>
      </c>
      <c r="AJ809" t="n">
        <v>0</v>
      </c>
      <c r="AK809" t="n">
        <v>3</v>
      </c>
      <c r="AL809" t="n">
        <v>0</v>
      </c>
      <c r="AM809" t="n">
        <v>0</v>
      </c>
      <c r="AN809" t="n">
        <v>0</v>
      </c>
      <c r="AO809" t="n">
        <v>3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HYPERLINK("https://creighton-primo.hosted.exlibrisgroup.com/primo-explore/search?tab=default_tab&amp;search_scope=EVERYTHING&amp;vid=01CRU&amp;lang=en_US&amp;offset=0&amp;query=any,contains,991002040039702656","Catalog Record")</f>
        <v/>
      </c>
      <c r="AT809">
        <f>HYPERLINK("http://www.worldcat.org/oclc/26014711","WorldCat Record")</f>
        <v/>
      </c>
      <c r="AU809" t="inlineStr">
        <is>
          <t>509204:eng</t>
        </is>
      </c>
      <c r="AV809" t="inlineStr">
        <is>
          <t>26014711</t>
        </is>
      </c>
      <c r="AW809" t="inlineStr">
        <is>
          <t>991002040039702656</t>
        </is>
      </c>
      <c r="AX809" t="inlineStr">
        <is>
          <t>991002040039702656</t>
        </is>
      </c>
      <c r="AY809" t="inlineStr">
        <is>
          <t>2261357060002656</t>
        </is>
      </c>
      <c r="AZ809" t="inlineStr">
        <is>
          <t>BOOK</t>
        </is>
      </c>
      <c r="BB809" t="inlineStr">
        <is>
          <t>9780531110423</t>
        </is>
      </c>
      <c r="BC809" t="inlineStr">
        <is>
          <t>32285002290939</t>
        </is>
      </c>
      <c r="BD809" t="inlineStr">
        <is>
          <t>893334864</t>
        </is>
      </c>
    </row>
    <row r="810">
      <c r="A810" t="inlineStr">
        <is>
          <t>No</t>
        </is>
      </c>
      <c r="B810" t="inlineStr">
        <is>
          <t>HV6626.52 .J36 1994</t>
        </is>
      </c>
      <c r="C810" t="inlineStr">
        <is>
          <t>0                      HV 6626520J  36          1994</t>
        </is>
      </c>
      <c r="D810" t="inlineStr">
        <is>
          <t>Vulnerable children, vulnerable families : the social construction of child abuse / Susan Janko.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Janko, Susan.</t>
        </is>
      </c>
      <c r="L810" t="inlineStr">
        <is>
          <t>New York : Teachers College Press, c1994.</t>
        </is>
      </c>
      <c r="M810" t="inlineStr">
        <is>
          <t>1994</t>
        </is>
      </c>
      <c r="O810" t="inlineStr">
        <is>
          <t>eng</t>
        </is>
      </c>
      <c r="P810" t="inlineStr">
        <is>
          <t>nyu</t>
        </is>
      </c>
      <c r="R810" t="inlineStr">
        <is>
          <t xml:space="preserve">HV </t>
        </is>
      </c>
      <c r="S810" t="n">
        <v>10</v>
      </c>
      <c r="T810" t="n">
        <v>10</v>
      </c>
      <c r="U810" t="inlineStr">
        <is>
          <t>2000-10-02</t>
        </is>
      </c>
      <c r="V810" t="inlineStr">
        <is>
          <t>2000-10-02</t>
        </is>
      </c>
      <c r="W810" t="inlineStr">
        <is>
          <t>1996-07-15</t>
        </is>
      </c>
      <c r="X810" t="inlineStr">
        <is>
          <t>1996-07-15</t>
        </is>
      </c>
      <c r="Y810" t="n">
        <v>708</v>
      </c>
      <c r="Z810" t="n">
        <v>620</v>
      </c>
      <c r="AA810" t="n">
        <v>625</v>
      </c>
      <c r="AB810" t="n">
        <v>6</v>
      </c>
      <c r="AC810" t="n">
        <v>6</v>
      </c>
      <c r="AD810" t="n">
        <v>34</v>
      </c>
      <c r="AE810" t="n">
        <v>34</v>
      </c>
      <c r="AF810" t="n">
        <v>10</v>
      </c>
      <c r="AG810" t="n">
        <v>10</v>
      </c>
      <c r="AH810" t="n">
        <v>8</v>
      </c>
      <c r="AI810" t="n">
        <v>8</v>
      </c>
      <c r="AJ810" t="n">
        <v>16</v>
      </c>
      <c r="AK810" t="n">
        <v>16</v>
      </c>
      <c r="AL810" t="n">
        <v>5</v>
      </c>
      <c r="AM810" t="n">
        <v>5</v>
      </c>
      <c r="AN810" t="n">
        <v>1</v>
      </c>
      <c r="AO810" t="n">
        <v>1</v>
      </c>
      <c r="AP810" t="inlineStr">
        <is>
          <t>No</t>
        </is>
      </c>
      <c r="AQ810" t="inlineStr">
        <is>
          <t>No</t>
        </is>
      </c>
      <c r="AS810">
        <f>HYPERLINK("https://creighton-primo.hosted.exlibrisgroup.com/primo-explore/search?tab=default_tab&amp;search_scope=EVERYTHING&amp;vid=01CRU&amp;lang=en_US&amp;offset=0&amp;query=any,contains,991002254979702656","Catalog Record")</f>
        <v/>
      </c>
      <c r="AT810">
        <f>HYPERLINK("http://www.worldcat.org/oclc/29220219","WorldCat Record")</f>
        <v/>
      </c>
      <c r="AU810" t="inlineStr">
        <is>
          <t>283733219:eng</t>
        </is>
      </c>
      <c r="AV810" t="inlineStr">
        <is>
          <t>29220219</t>
        </is>
      </c>
      <c r="AW810" t="inlineStr">
        <is>
          <t>991002254979702656</t>
        </is>
      </c>
      <c r="AX810" t="inlineStr">
        <is>
          <t>991002254979702656</t>
        </is>
      </c>
      <c r="AY810" t="inlineStr">
        <is>
          <t>2272413980002656</t>
        </is>
      </c>
      <c r="AZ810" t="inlineStr">
        <is>
          <t>BOOK</t>
        </is>
      </c>
      <c r="BB810" t="inlineStr">
        <is>
          <t>9780807733059</t>
        </is>
      </c>
      <c r="BC810" t="inlineStr">
        <is>
          <t>32285002212297</t>
        </is>
      </c>
      <c r="BD810" t="inlineStr">
        <is>
          <t>893226624</t>
        </is>
      </c>
    </row>
    <row r="811">
      <c r="A811" t="inlineStr">
        <is>
          <t>No</t>
        </is>
      </c>
      <c r="B811" t="inlineStr">
        <is>
          <t>HV6626.52 .P76 1994</t>
        </is>
      </c>
      <c r="C811" t="inlineStr">
        <is>
          <t>0                      HV 6626520P  76          1994</t>
        </is>
      </c>
      <c r="D811" t="inlineStr">
        <is>
          <t>Protecting children from abuse and neglect : foundations for a new national strategy / edited by Gary B. Melton, Frank D. Barry ; foreword by Richard D. Krugman.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L811" t="inlineStr">
        <is>
          <t>New York : Guilford Press, c1994.</t>
        </is>
      </c>
      <c r="M811" t="inlineStr">
        <is>
          <t>1994</t>
        </is>
      </c>
      <c r="O811" t="inlineStr">
        <is>
          <t>eng</t>
        </is>
      </c>
      <c r="P811" t="inlineStr">
        <is>
          <t>nyu</t>
        </is>
      </c>
      <c r="R811" t="inlineStr">
        <is>
          <t xml:space="preserve">HV </t>
        </is>
      </c>
      <c r="S811" t="n">
        <v>28</v>
      </c>
      <c r="T811" t="n">
        <v>28</v>
      </c>
      <c r="U811" t="inlineStr">
        <is>
          <t>2008-04-02</t>
        </is>
      </c>
      <c r="V811" t="inlineStr">
        <is>
          <t>2008-04-02</t>
        </is>
      </c>
      <c r="W811" t="inlineStr">
        <is>
          <t>1995-01-23</t>
        </is>
      </c>
      <c r="X811" t="inlineStr">
        <is>
          <t>1995-01-23</t>
        </is>
      </c>
      <c r="Y811" t="n">
        <v>382</v>
      </c>
      <c r="Z811" t="n">
        <v>331</v>
      </c>
      <c r="AA811" t="n">
        <v>336</v>
      </c>
      <c r="AB811" t="n">
        <v>2</v>
      </c>
      <c r="AC811" t="n">
        <v>2</v>
      </c>
      <c r="AD811" t="n">
        <v>16</v>
      </c>
      <c r="AE811" t="n">
        <v>16</v>
      </c>
      <c r="AF811" t="n">
        <v>4</v>
      </c>
      <c r="AG811" t="n">
        <v>4</v>
      </c>
      <c r="AH811" t="n">
        <v>4</v>
      </c>
      <c r="AI811" t="n">
        <v>4</v>
      </c>
      <c r="AJ811" t="n">
        <v>12</v>
      </c>
      <c r="AK811" t="n">
        <v>12</v>
      </c>
      <c r="AL811" t="n">
        <v>1</v>
      </c>
      <c r="AM811" t="n">
        <v>1</v>
      </c>
      <c r="AN811" t="n">
        <v>1</v>
      </c>
      <c r="AO811" t="n">
        <v>1</v>
      </c>
      <c r="AP811" t="inlineStr">
        <is>
          <t>No</t>
        </is>
      </c>
      <c r="AQ811" t="inlineStr">
        <is>
          <t>No</t>
        </is>
      </c>
      <c r="AS811">
        <f>HYPERLINK("https://creighton-primo.hosted.exlibrisgroup.com/primo-explore/search?tab=default_tab&amp;search_scope=EVERYTHING&amp;vid=01CRU&amp;lang=en_US&amp;offset=0&amp;query=any,contains,991005419069702656","Catalog Record")</f>
        <v/>
      </c>
      <c r="AT811">
        <f>HYPERLINK("http://www.worldcat.org/oclc/30544877","WorldCat Record")</f>
        <v/>
      </c>
      <c r="AU811" t="inlineStr">
        <is>
          <t>476636345:eng</t>
        </is>
      </c>
      <c r="AV811" t="inlineStr">
        <is>
          <t>30544877</t>
        </is>
      </c>
      <c r="AW811" t="inlineStr">
        <is>
          <t>991005419069702656</t>
        </is>
      </c>
      <c r="AX811" t="inlineStr">
        <is>
          <t>991005419069702656</t>
        </is>
      </c>
      <c r="AY811" t="inlineStr">
        <is>
          <t>2261684670002656</t>
        </is>
      </c>
      <c r="AZ811" t="inlineStr">
        <is>
          <t>BOOK</t>
        </is>
      </c>
      <c r="BB811" t="inlineStr">
        <is>
          <t>9780898622652</t>
        </is>
      </c>
      <c r="BC811" t="inlineStr">
        <is>
          <t>32285001994440</t>
        </is>
      </c>
      <c r="BD811" t="inlineStr">
        <is>
          <t>893527592</t>
        </is>
      </c>
    </row>
    <row r="812">
      <c r="A812" t="inlineStr">
        <is>
          <t>No</t>
        </is>
      </c>
      <c r="B812" t="inlineStr">
        <is>
          <t>HV6635 .G35</t>
        </is>
      </c>
      <c r="C812" t="inlineStr">
        <is>
          <t>0                      HV 6635000G  35</t>
        </is>
      </c>
      <c r="D812" t="inlineStr">
        <is>
          <t>White-collar criminal; the offender in business and the professions, edited, with introductions and notes, by Gilbert Geis.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Geis, Gilbert compiler.</t>
        </is>
      </c>
      <c r="L812" t="inlineStr">
        <is>
          <t>New York, Atherton Press, 1968.</t>
        </is>
      </c>
      <c r="M812" t="inlineStr">
        <is>
          <t>1968</t>
        </is>
      </c>
      <c r="N812" t="inlineStr">
        <is>
          <t>[1st ed.]</t>
        </is>
      </c>
      <c r="O812" t="inlineStr">
        <is>
          <t>eng</t>
        </is>
      </c>
      <c r="P812" t="inlineStr">
        <is>
          <t>nyu</t>
        </is>
      </c>
      <c r="R812" t="inlineStr">
        <is>
          <t xml:space="preserve">HV </t>
        </is>
      </c>
      <c r="S812" t="n">
        <v>6</v>
      </c>
      <c r="T812" t="n">
        <v>6</v>
      </c>
      <c r="U812" t="inlineStr">
        <is>
          <t>2001-04-17</t>
        </is>
      </c>
      <c r="V812" t="inlineStr">
        <is>
          <t>2001-04-17</t>
        </is>
      </c>
      <c r="W812" t="inlineStr">
        <is>
          <t>1997-08-25</t>
        </is>
      </c>
      <c r="X812" t="inlineStr">
        <is>
          <t>1997-08-25</t>
        </is>
      </c>
      <c r="Y812" t="n">
        <v>686</v>
      </c>
      <c r="Z812" t="n">
        <v>577</v>
      </c>
      <c r="AA812" t="n">
        <v>633</v>
      </c>
      <c r="AB812" t="n">
        <v>4</v>
      </c>
      <c r="AC812" t="n">
        <v>4</v>
      </c>
      <c r="AD812" t="n">
        <v>30</v>
      </c>
      <c r="AE812" t="n">
        <v>32</v>
      </c>
      <c r="AF812" t="n">
        <v>6</v>
      </c>
      <c r="AG812" t="n">
        <v>7</v>
      </c>
      <c r="AH812" t="n">
        <v>7</v>
      </c>
      <c r="AI812" t="n">
        <v>7</v>
      </c>
      <c r="AJ812" t="n">
        <v>11</v>
      </c>
      <c r="AK812" t="n">
        <v>11</v>
      </c>
      <c r="AL812" t="n">
        <v>2</v>
      </c>
      <c r="AM812" t="n">
        <v>2</v>
      </c>
      <c r="AN812" t="n">
        <v>10</v>
      </c>
      <c r="AO812" t="n">
        <v>11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HYPERLINK("http://catalog.hathitrust.org/Record/001134474","HathiTrust Record")</f>
        <v/>
      </c>
      <c r="AS812">
        <f>HYPERLINK("https://creighton-primo.hosted.exlibrisgroup.com/primo-explore/search?tab=default_tab&amp;search_scope=EVERYTHING&amp;vid=01CRU&amp;lang=en_US&amp;offset=0&amp;query=any,contains,991002082969702656","Catalog Record")</f>
        <v/>
      </c>
      <c r="AT812">
        <f>HYPERLINK("http://www.worldcat.org/oclc/264995","WorldCat Record")</f>
        <v/>
      </c>
      <c r="AU812" t="inlineStr">
        <is>
          <t>3856154053:eng</t>
        </is>
      </c>
      <c r="AV812" t="inlineStr">
        <is>
          <t>264995</t>
        </is>
      </c>
      <c r="AW812" t="inlineStr">
        <is>
          <t>991002082969702656</t>
        </is>
      </c>
      <c r="AX812" t="inlineStr">
        <is>
          <t>991002082969702656</t>
        </is>
      </c>
      <c r="AY812" t="inlineStr">
        <is>
          <t>2268077140002656</t>
        </is>
      </c>
      <c r="AZ812" t="inlineStr">
        <is>
          <t>BOOK</t>
        </is>
      </c>
      <c r="BC812" t="inlineStr">
        <is>
          <t>32285003158390</t>
        </is>
      </c>
      <c r="BD812" t="inlineStr">
        <is>
          <t>893347088</t>
        </is>
      </c>
    </row>
    <row r="813">
      <c r="A813" t="inlineStr">
        <is>
          <t>No</t>
        </is>
      </c>
      <c r="B813" t="inlineStr">
        <is>
          <t>HV6635 .J3</t>
        </is>
      </c>
      <c r="C813" t="inlineStr">
        <is>
          <t>0                      HV 6635000J  3</t>
        </is>
      </c>
      <c r="D813" t="inlineStr">
        <is>
          <t>The thief in the white collar, by Norman Jaspan with Hillel Black.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Jaspan, Norman.</t>
        </is>
      </c>
      <c r="L813" t="inlineStr">
        <is>
          <t>Philadelphia, Lippincott [1960]</t>
        </is>
      </c>
      <c r="M813" t="inlineStr">
        <is>
          <t>1960</t>
        </is>
      </c>
      <c r="N813" t="inlineStr">
        <is>
          <t>[1st ed.]</t>
        </is>
      </c>
      <c r="O813" t="inlineStr">
        <is>
          <t>eng</t>
        </is>
      </c>
      <c r="P813" t="inlineStr">
        <is>
          <t>pau</t>
        </is>
      </c>
      <c r="R813" t="inlineStr">
        <is>
          <t xml:space="preserve">HV </t>
        </is>
      </c>
      <c r="S813" t="n">
        <v>5</v>
      </c>
      <c r="T813" t="n">
        <v>5</v>
      </c>
      <c r="U813" t="inlineStr">
        <is>
          <t>2001-04-17</t>
        </is>
      </c>
      <c r="V813" t="inlineStr">
        <is>
          <t>2001-04-17</t>
        </is>
      </c>
      <c r="W813" t="inlineStr">
        <is>
          <t>1997-08-25</t>
        </is>
      </c>
      <c r="X813" t="inlineStr">
        <is>
          <t>1997-08-25</t>
        </is>
      </c>
      <c r="Y813" t="n">
        <v>415</v>
      </c>
      <c r="Z813" t="n">
        <v>369</v>
      </c>
      <c r="AA813" t="n">
        <v>388</v>
      </c>
      <c r="AB813" t="n">
        <v>5</v>
      </c>
      <c r="AC813" t="n">
        <v>5</v>
      </c>
      <c r="AD813" t="n">
        <v>25</v>
      </c>
      <c r="AE813" t="n">
        <v>25</v>
      </c>
      <c r="AF813" t="n">
        <v>8</v>
      </c>
      <c r="AG813" t="n">
        <v>8</v>
      </c>
      <c r="AH813" t="n">
        <v>5</v>
      </c>
      <c r="AI813" t="n">
        <v>5</v>
      </c>
      <c r="AJ813" t="n">
        <v>15</v>
      </c>
      <c r="AK813" t="n">
        <v>15</v>
      </c>
      <c r="AL813" t="n">
        <v>2</v>
      </c>
      <c r="AM813" t="n">
        <v>2</v>
      </c>
      <c r="AN813" t="n">
        <v>3</v>
      </c>
      <c r="AO813" t="n">
        <v>3</v>
      </c>
      <c r="AP813" t="inlineStr">
        <is>
          <t>Yes</t>
        </is>
      </c>
      <c r="AQ813" t="inlineStr">
        <is>
          <t>No</t>
        </is>
      </c>
      <c r="AR813">
        <f>HYPERLINK("http://catalog.hathitrust.org/Record/001120376","HathiTrust Record")</f>
        <v/>
      </c>
      <c r="AS813">
        <f>HYPERLINK("https://creighton-primo.hosted.exlibrisgroup.com/primo-explore/search?tab=default_tab&amp;search_scope=EVERYTHING&amp;vid=01CRU&amp;lang=en_US&amp;offset=0&amp;query=any,contains,991002082949702656","Catalog Record")</f>
        <v/>
      </c>
      <c r="AT813">
        <f>HYPERLINK("http://www.worldcat.org/oclc/264990","WorldCat Record")</f>
        <v/>
      </c>
      <c r="AU813" t="inlineStr">
        <is>
          <t>1381180:eng</t>
        </is>
      </c>
      <c r="AV813" t="inlineStr">
        <is>
          <t>264990</t>
        </is>
      </c>
      <c r="AW813" t="inlineStr">
        <is>
          <t>991002082949702656</t>
        </is>
      </c>
      <c r="AX813" t="inlineStr">
        <is>
          <t>991002082949702656</t>
        </is>
      </c>
      <c r="AY813" t="inlineStr">
        <is>
          <t>2268077000002656</t>
        </is>
      </c>
      <c r="AZ813" t="inlineStr">
        <is>
          <t>BOOK</t>
        </is>
      </c>
      <c r="BC813" t="inlineStr">
        <is>
          <t>32285003158408</t>
        </is>
      </c>
      <c r="BD813" t="inlineStr">
        <is>
          <t>893341011</t>
        </is>
      </c>
    </row>
    <row r="814">
      <c r="A814" t="inlineStr">
        <is>
          <t>No</t>
        </is>
      </c>
      <c r="B814" t="inlineStr">
        <is>
          <t>HV6640 .B58 2008</t>
        </is>
      </c>
      <c r="C814" t="inlineStr">
        <is>
          <t>0                      HV 6640000B  58          2008</t>
        </is>
      </c>
      <c r="D814" t="inlineStr">
        <is>
          <t>American lightning : terror, mystery, movie-making, and the crime of the century / Howard Blum.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Blum, Howard.</t>
        </is>
      </c>
      <c r="L814" t="inlineStr">
        <is>
          <t>New York : Crown Publishers, c2008.</t>
        </is>
      </c>
      <c r="M814" t="inlineStr">
        <is>
          <t>2008</t>
        </is>
      </c>
      <c r="N814" t="inlineStr">
        <is>
          <t>1st ed.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HV </t>
        </is>
      </c>
      <c r="S814" t="n">
        <v>2</v>
      </c>
      <c r="T814" t="n">
        <v>2</v>
      </c>
      <c r="U814" t="inlineStr">
        <is>
          <t>2009-06-23</t>
        </is>
      </c>
      <c r="V814" t="inlineStr">
        <is>
          <t>2009-06-23</t>
        </is>
      </c>
      <c r="W814" t="inlineStr">
        <is>
          <t>2009-06-02</t>
        </is>
      </c>
      <c r="X814" t="inlineStr">
        <is>
          <t>2009-06-02</t>
        </is>
      </c>
      <c r="Y814" t="n">
        <v>1187</v>
      </c>
      <c r="Z814" t="n">
        <v>1147</v>
      </c>
      <c r="AA814" t="n">
        <v>1293</v>
      </c>
      <c r="AB814" t="n">
        <v>7</v>
      </c>
      <c r="AC814" t="n">
        <v>12</v>
      </c>
      <c r="AD814" t="n">
        <v>16</v>
      </c>
      <c r="AE814" t="n">
        <v>18</v>
      </c>
      <c r="AF814" t="n">
        <v>5</v>
      </c>
      <c r="AG814" t="n">
        <v>5</v>
      </c>
      <c r="AH814" t="n">
        <v>4</v>
      </c>
      <c r="AI814" t="n">
        <v>4</v>
      </c>
      <c r="AJ814" t="n">
        <v>10</v>
      </c>
      <c r="AK814" t="n">
        <v>10</v>
      </c>
      <c r="AL814" t="n">
        <v>1</v>
      </c>
      <c r="AM814" t="n">
        <v>3</v>
      </c>
      <c r="AN814" t="n">
        <v>1</v>
      </c>
      <c r="AO814" t="n">
        <v>1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HYPERLINK("https://creighton-primo.hosted.exlibrisgroup.com/primo-explore/search?tab=default_tab&amp;search_scope=EVERYTHING&amp;vid=01CRU&amp;lang=en_US&amp;offset=0&amp;query=any,contains,991005319779702656","Catalog Record")</f>
        <v/>
      </c>
      <c r="AT814">
        <f>HYPERLINK("http://www.worldcat.org/oclc/191767740","WorldCat Record")</f>
        <v/>
      </c>
      <c r="AU814" t="inlineStr">
        <is>
          <t>866296496:eng</t>
        </is>
      </c>
      <c r="AV814" t="inlineStr">
        <is>
          <t>191767740</t>
        </is>
      </c>
      <c r="AW814" t="inlineStr">
        <is>
          <t>991005319779702656</t>
        </is>
      </c>
      <c r="AX814" t="inlineStr">
        <is>
          <t>991005319779702656</t>
        </is>
      </c>
      <c r="AY814" t="inlineStr">
        <is>
          <t>2258152510002656</t>
        </is>
      </c>
      <c r="AZ814" t="inlineStr">
        <is>
          <t>BOOK</t>
        </is>
      </c>
      <c r="BB814" t="inlineStr">
        <is>
          <t>9780307346940</t>
        </is>
      </c>
      <c r="BC814" t="inlineStr">
        <is>
          <t>32285005533723</t>
        </is>
      </c>
      <c r="BD814" t="inlineStr">
        <is>
          <t>893695128</t>
        </is>
      </c>
    </row>
    <row r="815">
      <c r="A815" t="inlineStr">
        <is>
          <t>No</t>
        </is>
      </c>
      <c r="B815" t="inlineStr">
        <is>
          <t>HV6652 .C3</t>
        </is>
      </c>
      <c r="C815" t="inlineStr">
        <is>
          <t>0                      HV 6652000C  3</t>
        </is>
      </c>
      <c r="D815" t="inlineStr">
        <is>
          <t>The booster and the snitch: department store shoplifting.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Cameron, Mary Owen.</t>
        </is>
      </c>
      <c r="L815" t="inlineStr">
        <is>
          <t>[New York] Free Press of Glencoe [1964]</t>
        </is>
      </c>
      <c r="M815" t="inlineStr">
        <is>
          <t>1964</t>
        </is>
      </c>
      <c r="O815" t="inlineStr">
        <is>
          <t>eng</t>
        </is>
      </c>
      <c r="P815" t="inlineStr">
        <is>
          <t>nyu</t>
        </is>
      </c>
      <c r="R815" t="inlineStr">
        <is>
          <t xml:space="preserve">HV </t>
        </is>
      </c>
      <c r="S815" t="n">
        <v>3</v>
      </c>
      <c r="T815" t="n">
        <v>3</v>
      </c>
      <c r="U815" t="inlineStr">
        <is>
          <t>2000-04-17</t>
        </is>
      </c>
      <c r="V815" t="inlineStr">
        <is>
          <t>2000-04-17</t>
        </is>
      </c>
      <c r="W815" t="inlineStr">
        <is>
          <t>1997-08-25</t>
        </is>
      </c>
      <c r="X815" t="inlineStr">
        <is>
          <t>1997-08-25</t>
        </is>
      </c>
      <c r="Y815" t="n">
        <v>601</v>
      </c>
      <c r="Z815" t="n">
        <v>504</v>
      </c>
      <c r="AA815" t="n">
        <v>509</v>
      </c>
      <c r="AB815" t="n">
        <v>5</v>
      </c>
      <c r="AC815" t="n">
        <v>5</v>
      </c>
      <c r="AD815" t="n">
        <v>31</v>
      </c>
      <c r="AE815" t="n">
        <v>32</v>
      </c>
      <c r="AF815" t="n">
        <v>11</v>
      </c>
      <c r="AG815" t="n">
        <v>11</v>
      </c>
      <c r="AH815" t="n">
        <v>3</v>
      </c>
      <c r="AI815" t="n">
        <v>4</v>
      </c>
      <c r="AJ815" t="n">
        <v>12</v>
      </c>
      <c r="AK815" t="n">
        <v>13</v>
      </c>
      <c r="AL815" t="n">
        <v>4</v>
      </c>
      <c r="AM815" t="n">
        <v>4</v>
      </c>
      <c r="AN815" t="n">
        <v>5</v>
      </c>
      <c r="AO815" t="n">
        <v>5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HYPERLINK("http://catalog.hathitrust.org/Record/001134482","HathiTrust Record")</f>
        <v/>
      </c>
      <c r="AS815">
        <f>HYPERLINK("https://creighton-primo.hosted.exlibrisgroup.com/primo-explore/search?tab=default_tab&amp;search_scope=EVERYTHING&amp;vid=01CRU&amp;lang=en_US&amp;offset=0&amp;query=any,contains,991002197909702656","Catalog Record")</f>
        <v/>
      </c>
      <c r="AT815">
        <f>HYPERLINK("http://www.worldcat.org/oclc/283690","WorldCat Record")</f>
        <v/>
      </c>
      <c r="AU815" t="inlineStr">
        <is>
          <t>1442155:eng</t>
        </is>
      </c>
      <c r="AV815" t="inlineStr">
        <is>
          <t>283690</t>
        </is>
      </c>
      <c r="AW815" t="inlineStr">
        <is>
          <t>991002197909702656</t>
        </is>
      </c>
      <c r="AX815" t="inlineStr">
        <is>
          <t>991002197909702656</t>
        </is>
      </c>
      <c r="AY815" t="inlineStr">
        <is>
          <t>2265667990002656</t>
        </is>
      </c>
      <c r="AZ815" t="inlineStr">
        <is>
          <t>BOOK</t>
        </is>
      </c>
      <c r="BC815" t="inlineStr">
        <is>
          <t>32285003158424</t>
        </is>
      </c>
      <c r="BD815" t="inlineStr">
        <is>
          <t>893879605</t>
        </is>
      </c>
    </row>
    <row r="816">
      <c r="A816" t="inlineStr">
        <is>
          <t>No</t>
        </is>
      </c>
      <c r="B816" t="inlineStr">
        <is>
          <t>HV6653.C66 D86 2006</t>
        </is>
      </c>
      <c r="C816" t="inlineStr">
        <is>
          <t>0                      HV 6653000C  66                 D  86          2006</t>
        </is>
      </c>
      <c r="D816" t="inlineStr">
        <is>
          <t>The bobbed haired bandit : a true story of crime and celebrity in 1920s New York / Stephen Duncombe &amp; Andrew Mattson.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Duncombe, Stephen.</t>
        </is>
      </c>
      <c r="L816" t="inlineStr">
        <is>
          <t>New York : New York University Press, c2006.</t>
        </is>
      </c>
      <c r="M816" t="inlineStr">
        <is>
          <t>2006</t>
        </is>
      </c>
      <c r="O816" t="inlineStr">
        <is>
          <t>eng</t>
        </is>
      </c>
      <c r="P816" t="inlineStr">
        <is>
          <t>nyu</t>
        </is>
      </c>
      <c r="R816" t="inlineStr">
        <is>
          <t xml:space="preserve">HV </t>
        </is>
      </c>
      <c r="S816" t="n">
        <v>1</v>
      </c>
      <c r="T816" t="n">
        <v>1</v>
      </c>
      <c r="U816" t="inlineStr">
        <is>
          <t>2009-05-15</t>
        </is>
      </c>
      <c r="V816" t="inlineStr">
        <is>
          <t>2009-05-15</t>
        </is>
      </c>
      <c r="W816" t="inlineStr">
        <is>
          <t>2006-02-01</t>
        </is>
      </c>
      <c r="X816" t="inlineStr">
        <is>
          <t>2006-02-01</t>
        </is>
      </c>
      <c r="Y816" t="n">
        <v>472</v>
      </c>
      <c r="Z816" t="n">
        <v>447</v>
      </c>
      <c r="AA816" t="n">
        <v>925</v>
      </c>
      <c r="AB816" t="n">
        <v>2</v>
      </c>
      <c r="AC816" t="n">
        <v>6</v>
      </c>
      <c r="AD816" t="n">
        <v>6</v>
      </c>
      <c r="AE816" t="n">
        <v>30</v>
      </c>
      <c r="AF816" t="n">
        <v>1</v>
      </c>
      <c r="AG816" t="n">
        <v>11</v>
      </c>
      <c r="AH816" t="n">
        <v>2</v>
      </c>
      <c r="AI816" t="n">
        <v>7</v>
      </c>
      <c r="AJ816" t="n">
        <v>4</v>
      </c>
      <c r="AK816" t="n">
        <v>10</v>
      </c>
      <c r="AL816" t="n">
        <v>1</v>
      </c>
      <c r="AM816" t="n">
        <v>5</v>
      </c>
      <c r="AN816" t="n">
        <v>1</v>
      </c>
      <c r="AO816" t="n">
        <v>2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HYPERLINK("https://creighton-primo.hosted.exlibrisgroup.com/primo-explore/search?tab=default_tab&amp;search_scope=EVERYTHING&amp;vid=01CRU&amp;lang=en_US&amp;offset=0&amp;query=any,contains,991004730189702656","Catalog Record")</f>
        <v/>
      </c>
      <c r="AT816">
        <f>HYPERLINK("http://www.worldcat.org/oclc/61151485","WorldCat Record")</f>
        <v/>
      </c>
      <c r="AU816" t="inlineStr">
        <is>
          <t>794125541:eng</t>
        </is>
      </c>
      <c r="AV816" t="inlineStr">
        <is>
          <t>61151485</t>
        </is>
      </c>
      <c r="AW816" t="inlineStr">
        <is>
          <t>991004730189702656</t>
        </is>
      </c>
      <c r="AX816" t="inlineStr">
        <is>
          <t>991004730189702656</t>
        </is>
      </c>
      <c r="AY816" t="inlineStr">
        <is>
          <t>2262517590002656</t>
        </is>
      </c>
      <c r="AZ816" t="inlineStr">
        <is>
          <t>BOOK</t>
        </is>
      </c>
      <c r="BB816" t="inlineStr">
        <is>
          <t>9780814719800</t>
        </is>
      </c>
      <c r="BC816" t="inlineStr">
        <is>
          <t>32285005160287</t>
        </is>
      </c>
      <c r="BD816" t="inlineStr">
        <is>
          <t>893254034</t>
        </is>
      </c>
    </row>
    <row r="817">
      <c r="A817" t="inlineStr">
        <is>
          <t>No</t>
        </is>
      </c>
      <c r="B817" t="inlineStr">
        <is>
          <t>HV6665.G82 S29 1945b</t>
        </is>
      </c>
      <c r="C817" t="inlineStr">
        <is>
          <t>0                      HV 6665000G  82                 S  29          1945b</t>
        </is>
      </c>
      <c r="D817" t="inlineStr">
        <is>
          <t>Nazi gold : the story of the world's greatest robbery--and its aftermath / Ian Sayer and Douglas Botting with the London Sunday times.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Sayer, Ian.</t>
        </is>
      </c>
      <c r="L817" t="inlineStr">
        <is>
          <t>New York : Congdon &amp; Weed : Distributed by St. Martin's Press, c1984.</t>
        </is>
      </c>
      <c r="M817" t="inlineStr">
        <is>
          <t>1984</t>
        </is>
      </c>
      <c r="N817" t="inlineStr">
        <is>
          <t>1st American ed.</t>
        </is>
      </c>
      <c r="O817" t="inlineStr">
        <is>
          <t>eng</t>
        </is>
      </c>
      <c r="P817" t="inlineStr">
        <is>
          <t>nyu</t>
        </is>
      </c>
      <c r="R817" t="inlineStr">
        <is>
          <t xml:space="preserve">HV </t>
        </is>
      </c>
      <c r="S817" t="n">
        <v>2</v>
      </c>
      <c r="T817" t="n">
        <v>2</v>
      </c>
      <c r="U817" t="inlineStr">
        <is>
          <t>1996-01-21</t>
        </is>
      </c>
      <c r="V817" t="inlineStr">
        <is>
          <t>1996-01-21</t>
        </is>
      </c>
      <c r="W817" t="inlineStr">
        <is>
          <t>1990-06-07</t>
        </is>
      </c>
      <c r="X817" t="inlineStr">
        <is>
          <t>1990-06-07</t>
        </is>
      </c>
      <c r="Y817" t="n">
        <v>551</v>
      </c>
      <c r="Z817" t="n">
        <v>542</v>
      </c>
      <c r="AA817" t="n">
        <v>621</v>
      </c>
      <c r="AB817" t="n">
        <v>2</v>
      </c>
      <c r="AC817" t="n">
        <v>3</v>
      </c>
      <c r="AD817" t="n">
        <v>7</v>
      </c>
      <c r="AE817" t="n">
        <v>9</v>
      </c>
      <c r="AF817" t="n">
        <v>3</v>
      </c>
      <c r="AG817" t="n">
        <v>3</v>
      </c>
      <c r="AH817" t="n">
        <v>2</v>
      </c>
      <c r="AI817" t="n">
        <v>2</v>
      </c>
      <c r="AJ817" t="n">
        <v>5</v>
      </c>
      <c r="AK817" t="n">
        <v>6</v>
      </c>
      <c r="AL817" t="n">
        <v>0</v>
      </c>
      <c r="AM817" t="n">
        <v>1</v>
      </c>
      <c r="AN817" t="n">
        <v>0</v>
      </c>
      <c r="AO817" t="n">
        <v>0</v>
      </c>
      <c r="AP817" t="inlineStr">
        <is>
          <t>No</t>
        </is>
      </c>
      <c r="AQ817" t="inlineStr">
        <is>
          <t>No</t>
        </is>
      </c>
      <c r="AS817">
        <f>HYPERLINK("https://creighton-primo.hosted.exlibrisgroup.com/primo-explore/search?tab=default_tab&amp;search_scope=EVERYTHING&amp;vid=01CRU&amp;lang=en_US&amp;offset=0&amp;query=any,contains,991000514309702656","Catalog Record")</f>
        <v/>
      </c>
      <c r="AT817">
        <f>HYPERLINK("http://www.worldcat.org/oclc/11262238","WorldCat Record")</f>
        <v/>
      </c>
      <c r="AU817" t="inlineStr">
        <is>
          <t>3325366:eng</t>
        </is>
      </c>
      <c r="AV817" t="inlineStr">
        <is>
          <t>11262238</t>
        </is>
      </c>
      <c r="AW817" t="inlineStr">
        <is>
          <t>991000514309702656</t>
        </is>
      </c>
      <c r="AX817" t="inlineStr">
        <is>
          <t>991000514309702656</t>
        </is>
      </c>
      <c r="AY817" t="inlineStr">
        <is>
          <t>2265981710002656</t>
        </is>
      </c>
      <c r="AZ817" t="inlineStr">
        <is>
          <t>BOOK</t>
        </is>
      </c>
      <c r="BB817" t="inlineStr">
        <is>
          <t>9780312925673</t>
        </is>
      </c>
      <c r="BC817" t="inlineStr">
        <is>
          <t>32285000183706</t>
        </is>
      </c>
      <c r="BD817" t="inlineStr">
        <is>
          <t>893896950</t>
        </is>
      </c>
    </row>
    <row r="818">
      <c r="A818" t="inlineStr">
        <is>
          <t>No</t>
        </is>
      </c>
      <c r="B818" t="inlineStr">
        <is>
          <t>HV6691 .A43 2003</t>
        </is>
      </c>
      <c r="C818" t="inlineStr">
        <is>
          <t>0                      HV 6691000A  43          2003</t>
        </is>
      </c>
      <c r="D818" t="inlineStr">
        <is>
          <t>Fraud examination / W. Steve Albrecht, Chad O. Albrecht.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Albrecht, W. Steve.</t>
        </is>
      </c>
      <c r="L818" t="inlineStr">
        <is>
          <t>Australia ; Mason, Ohio : Thomson/South-Western, c2003.</t>
        </is>
      </c>
      <c r="M818" t="inlineStr">
        <is>
          <t>2003</t>
        </is>
      </c>
      <c r="O818" t="inlineStr">
        <is>
          <t>eng</t>
        </is>
      </c>
      <c r="P818" t="inlineStr">
        <is>
          <t xml:space="preserve">at </t>
        </is>
      </c>
      <c r="R818" t="inlineStr">
        <is>
          <t xml:space="preserve">HV </t>
        </is>
      </c>
      <c r="S818" t="n">
        <v>1</v>
      </c>
      <c r="T818" t="n">
        <v>1</v>
      </c>
      <c r="U818" t="inlineStr">
        <is>
          <t>2004-03-29</t>
        </is>
      </c>
      <c r="V818" t="inlineStr">
        <is>
          <t>2004-03-29</t>
        </is>
      </c>
      <c r="W818" t="inlineStr">
        <is>
          <t>2002-08-27</t>
        </is>
      </c>
      <c r="X818" t="inlineStr">
        <is>
          <t>2002-08-27</t>
        </is>
      </c>
      <c r="Y818" t="n">
        <v>114</v>
      </c>
      <c r="Z818" t="n">
        <v>73</v>
      </c>
      <c r="AA818" t="n">
        <v>213</v>
      </c>
      <c r="AB818" t="n">
        <v>2</v>
      </c>
      <c r="AC818" t="n">
        <v>2</v>
      </c>
      <c r="AD818" t="n">
        <v>2</v>
      </c>
      <c r="AE818" t="n">
        <v>8</v>
      </c>
      <c r="AF818" t="n">
        <v>1</v>
      </c>
      <c r="AG818" t="n">
        <v>4</v>
      </c>
      <c r="AH818" t="n">
        <v>0</v>
      </c>
      <c r="AI818" t="n">
        <v>2</v>
      </c>
      <c r="AJ818" t="n">
        <v>1</v>
      </c>
      <c r="AK818" t="n">
        <v>5</v>
      </c>
      <c r="AL818" t="n">
        <v>1</v>
      </c>
      <c r="AM818" t="n">
        <v>1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HYPERLINK("https://creighton-primo.hosted.exlibrisgroup.com/primo-explore/search?tab=default_tab&amp;search_scope=EVERYTHING&amp;vid=01CRU&amp;lang=en_US&amp;offset=0&amp;query=any,contains,991003845079702656","Catalog Record")</f>
        <v/>
      </c>
      <c r="AT818">
        <f>HYPERLINK("http://www.worldcat.org/oclc/49860009","WorldCat Record")</f>
        <v/>
      </c>
      <c r="AU818" t="inlineStr">
        <is>
          <t>4927722474:eng</t>
        </is>
      </c>
      <c r="AV818" t="inlineStr">
        <is>
          <t>49860009</t>
        </is>
      </c>
      <c r="AW818" t="inlineStr">
        <is>
          <t>991003845079702656</t>
        </is>
      </c>
      <c r="AX818" t="inlineStr">
        <is>
          <t>991003845079702656</t>
        </is>
      </c>
      <c r="AY818" t="inlineStr">
        <is>
          <t>2270822460002656</t>
        </is>
      </c>
      <c r="AZ818" t="inlineStr">
        <is>
          <t>BOOK</t>
        </is>
      </c>
      <c r="BB818" t="inlineStr">
        <is>
          <t>9780324162967</t>
        </is>
      </c>
      <c r="BC818" t="inlineStr">
        <is>
          <t>32285004645080</t>
        </is>
      </c>
      <c r="BD818" t="inlineStr">
        <is>
          <t>893699482</t>
        </is>
      </c>
    </row>
    <row r="819">
      <c r="A819" t="inlineStr">
        <is>
          <t>No</t>
        </is>
      </c>
      <c r="B819" t="inlineStr">
        <is>
          <t>HV6691 .A433 2004</t>
        </is>
      </c>
      <c r="C819" t="inlineStr">
        <is>
          <t>0                      HV 6691000A  433         2004</t>
        </is>
      </c>
      <c r="D819" t="inlineStr">
        <is>
          <t>Fraud examination &amp; prevention / W. Steven Albrecht, Chad Albrecht.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Albrecht, W. Steve.</t>
        </is>
      </c>
      <c r="L819" t="inlineStr">
        <is>
          <t>Mason, OH : Thomson/South-Western, c2004.</t>
        </is>
      </c>
      <c r="M819" t="inlineStr">
        <is>
          <t>2004</t>
        </is>
      </c>
      <c r="O819" t="inlineStr">
        <is>
          <t>eng</t>
        </is>
      </c>
      <c r="P819" t="inlineStr">
        <is>
          <t>ohu</t>
        </is>
      </c>
      <c r="R819" t="inlineStr">
        <is>
          <t xml:space="preserve">HV </t>
        </is>
      </c>
      <c r="S819" t="n">
        <v>2</v>
      </c>
      <c r="T819" t="n">
        <v>2</v>
      </c>
      <c r="U819" t="inlineStr">
        <is>
          <t>2006-12-07</t>
        </is>
      </c>
      <c r="V819" t="inlineStr">
        <is>
          <t>2006-12-07</t>
        </is>
      </c>
      <c r="W819" t="inlineStr">
        <is>
          <t>2006-11-07</t>
        </is>
      </c>
      <c r="X819" t="inlineStr">
        <is>
          <t>2006-11-07</t>
        </is>
      </c>
      <c r="Y819" t="n">
        <v>220</v>
      </c>
      <c r="Z819" t="n">
        <v>153</v>
      </c>
      <c r="AA819" t="n">
        <v>153</v>
      </c>
      <c r="AB819" t="n">
        <v>1</v>
      </c>
      <c r="AC819" t="n">
        <v>1</v>
      </c>
      <c r="AD819" t="n">
        <v>8</v>
      </c>
      <c r="AE819" t="n">
        <v>8</v>
      </c>
      <c r="AF819" t="n">
        <v>4</v>
      </c>
      <c r="AG819" t="n">
        <v>4</v>
      </c>
      <c r="AH819" t="n">
        <v>1</v>
      </c>
      <c r="AI819" t="n">
        <v>1</v>
      </c>
      <c r="AJ819" t="n">
        <v>5</v>
      </c>
      <c r="AK819" t="n">
        <v>5</v>
      </c>
      <c r="AL819" t="n">
        <v>0</v>
      </c>
      <c r="AM819" t="n">
        <v>0</v>
      </c>
      <c r="AN819" t="n">
        <v>1</v>
      </c>
      <c r="AO819" t="n">
        <v>1</v>
      </c>
      <c r="AP819" t="inlineStr">
        <is>
          <t>No</t>
        </is>
      </c>
      <c r="AQ819" t="inlineStr">
        <is>
          <t>No</t>
        </is>
      </c>
      <c r="AS819">
        <f>HYPERLINK("https://creighton-primo.hosted.exlibrisgroup.com/primo-explore/search?tab=default_tab&amp;search_scope=EVERYTHING&amp;vid=01CRU&amp;lang=en_US&amp;offset=0&amp;query=any,contains,991004959339702656","Catalog Record")</f>
        <v/>
      </c>
      <c r="AT819">
        <f>HYPERLINK("http://www.worldcat.org/oclc/52139643","WorldCat Record")</f>
        <v/>
      </c>
      <c r="AU819" t="inlineStr">
        <is>
          <t>1183521109:eng</t>
        </is>
      </c>
      <c r="AV819" t="inlineStr">
        <is>
          <t>52139643</t>
        </is>
      </c>
      <c r="AW819" t="inlineStr">
        <is>
          <t>991004959339702656</t>
        </is>
      </c>
      <c r="AX819" t="inlineStr">
        <is>
          <t>991004959339702656</t>
        </is>
      </c>
      <c r="AY819" t="inlineStr">
        <is>
          <t>2272150250002656</t>
        </is>
      </c>
      <c r="AZ819" t="inlineStr">
        <is>
          <t>BOOK</t>
        </is>
      </c>
      <c r="BB819" t="inlineStr">
        <is>
          <t>9780538726894</t>
        </is>
      </c>
      <c r="BC819" t="inlineStr">
        <is>
          <t>32285005236558</t>
        </is>
      </c>
      <c r="BD819" t="inlineStr">
        <is>
          <t>893707055</t>
        </is>
      </c>
    </row>
    <row r="820">
      <c r="A820" t="inlineStr">
        <is>
          <t>No</t>
        </is>
      </c>
      <c r="B820" t="inlineStr">
        <is>
          <t>HV6691 .B64 1984</t>
        </is>
      </c>
      <c r="C820" t="inlineStr">
        <is>
          <t>0                      HV 6691000B  64          1984</t>
        </is>
      </c>
      <c r="D820" t="inlineStr">
        <is>
          <t>Corporate fraud : the basics of prevention and detection / Jack Bologna.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Bologna, Jack.</t>
        </is>
      </c>
      <c r="L820" t="inlineStr">
        <is>
          <t>Boston : Butterworth Publishers, c1984.</t>
        </is>
      </c>
      <c r="M820" t="inlineStr">
        <is>
          <t>1984</t>
        </is>
      </c>
      <c r="O820" t="inlineStr">
        <is>
          <t>eng</t>
        </is>
      </c>
      <c r="P820" t="inlineStr">
        <is>
          <t>mau</t>
        </is>
      </c>
      <c r="R820" t="inlineStr">
        <is>
          <t xml:space="preserve">HV </t>
        </is>
      </c>
      <c r="S820" t="n">
        <v>5</v>
      </c>
      <c r="T820" t="n">
        <v>5</v>
      </c>
      <c r="U820" t="inlineStr">
        <is>
          <t>1994-11-06</t>
        </is>
      </c>
      <c r="V820" t="inlineStr">
        <is>
          <t>1994-11-06</t>
        </is>
      </c>
      <c r="W820" t="inlineStr">
        <is>
          <t>1990-06-07</t>
        </is>
      </c>
      <c r="X820" t="inlineStr">
        <is>
          <t>1990-06-07</t>
        </is>
      </c>
      <c r="Y820" t="n">
        <v>387</v>
      </c>
      <c r="Z820" t="n">
        <v>309</v>
      </c>
      <c r="AA820" t="n">
        <v>311</v>
      </c>
      <c r="AB820" t="n">
        <v>5</v>
      </c>
      <c r="AC820" t="n">
        <v>5</v>
      </c>
      <c r="AD820" t="n">
        <v>19</v>
      </c>
      <c r="AE820" t="n">
        <v>19</v>
      </c>
      <c r="AF820" t="n">
        <v>4</v>
      </c>
      <c r="AG820" t="n">
        <v>4</v>
      </c>
      <c r="AH820" t="n">
        <v>6</v>
      </c>
      <c r="AI820" t="n">
        <v>6</v>
      </c>
      <c r="AJ820" t="n">
        <v>9</v>
      </c>
      <c r="AK820" t="n">
        <v>9</v>
      </c>
      <c r="AL820" t="n">
        <v>4</v>
      </c>
      <c r="AM820" t="n">
        <v>4</v>
      </c>
      <c r="AN820" t="n">
        <v>1</v>
      </c>
      <c r="AO820" t="n">
        <v>1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HYPERLINK("http://catalog.hathitrust.org/Record/000288676","HathiTrust Record")</f>
        <v/>
      </c>
      <c r="AS820">
        <f>HYPERLINK("https://creighton-primo.hosted.exlibrisgroup.com/primo-explore/search?tab=default_tab&amp;search_scope=EVERYTHING&amp;vid=01CRU&amp;lang=en_US&amp;offset=0&amp;query=any,contains,991000434389702656","Catalog Record")</f>
        <v/>
      </c>
      <c r="AT820">
        <f>HYPERLINK("http://www.worldcat.org/oclc/10780823","WorldCat Record")</f>
        <v/>
      </c>
      <c r="AU820" t="inlineStr">
        <is>
          <t>288253574:eng</t>
        </is>
      </c>
      <c r="AV820" t="inlineStr">
        <is>
          <t>10780823</t>
        </is>
      </c>
      <c r="AW820" t="inlineStr">
        <is>
          <t>991000434389702656</t>
        </is>
      </c>
      <c r="AX820" t="inlineStr">
        <is>
          <t>991000434389702656</t>
        </is>
      </c>
      <c r="AY820" t="inlineStr">
        <is>
          <t>2255220410002656</t>
        </is>
      </c>
      <c r="AZ820" t="inlineStr">
        <is>
          <t>BOOK</t>
        </is>
      </c>
      <c r="BB820" t="inlineStr">
        <is>
          <t>9780409951295</t>
        </is>
      </c>
      <c r="BC820" t="inlineStr">
        <is>
          <t>32285000183722</t>
        </is>
      </c>
      <c r="BD820" t="inlineStr">
        <is>
          <t>893626305</t>
        </is>
      </c>
    </row>
    <row r="821">
      <c r="A821" t="inlineStr">
        <is>
          <t>No</t>
        </is>
      </c>
      <c r="B821" t="inlineStr">
        <is>
          <t>HV6691 .F35 2007</t>
        </is>
      </c>
      <c r="C821" t="inlineStr">
        <is>
          <t>0                      HV 6691000F  35          2007</t>
        </is>
      </c>
      <c r="D821" t="inlineStr">
        <is>
          <t>Fraud : deceit among scientists, academics, writers, and philanthropists / Gerhard Falk.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Falk, Gerhard, 1924-</t>
        </is>
      </c>
      <c r="L821" t="inlineStr">
        <is>
          <t>Lanham, Md. : University Press of America, c2007.</t>
        </is>
      </c>
      <c r="M821" t="inlineStr">
        <is>
          <t>2007</t>
        </is>
      </c>
      <c r="O821" t="inlineStr">
        <is>
          <t>eng</t>
        </is>
      </c>
      <c r="P821" t="inlineStr">
        <is>
          <t>mdu</t>
        </is>
      </c>
      <c r="R821" t="inlineStr">
        <is>
          <t xml:space="preserve">HV </t>
        </is>
      </c>
      <c r="S821" t="n">
        <v>1</v>
      </c>
      <c r="T821" t="n">
        <v>1</v>
      </c>
      <c r="U821" t="inlineStr">
        <is>
          <t>2007-10-09</t>
        </is>
      </c>
      <c r="V821" t="inlineStr">
        <is>
          <t>2007-10-09</t>
        </is>
      </c>
      <c r="W821" t="inlineStr">
        <is>
          <t>2007-10-09</t>
        </is>
      </c>
      <c r="X821" t="inlineStr">
        <is>
          <t>2007-10-09</t>
        </is>
      </c>
      <c r="Y821" t="n">
        <v>185</v>
      </c>
      <c r="Z821" t="n">
        <v>160</v>
      </c>
      <c r="AA821" t="n">
        <v>162</v>
      </c>
      <c r="AB821" t="n">
        <v>2</v>
      </c>
      <c r="AC821" t="n">
        <v>2</v>
      </c>
      <c r="AD821" t="n">
        <v>9</v>
      </c>
      <c r="AE821" t="n">
        <v>9</v>
      </c>
      <c r="AF821" t="n">
        <v>5</v>
      </c>
      <c r="AG821" t="n">
        <v>5</v>
      </c>
      <c r="AH821" t="n">
        <v>1</v>
      </c>
      <c r="AI821" t="n">
        <v>1</v>
      </c>
      <c r="AJ821" t="n">
        <v>4</v>
      </c>
      <c r="AK821" t="n">
        <v>4</v>
      </c>
      <c r="AL821" t="n">
        <v>1</v>
      </c>
      <c r="AM821" t="n">
        <v>1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HYPERLINK("https://creighton-primo.hosted.exlibrisgroup.com/primo-explore/search?tab=default_tab&amp;search_scope=EVERYTHING&amp;vid=01CRU&amp;lang=en_US&amp;offset=0&amp;query=any,contains,991005127419702656","Catalog Record")</f>
        <v/>
      </c>
      <c r="AT821">
        <f>HYPERLINK("http://www.worldcat.org/oclc/166368678","WorldCat Record")</f>
        <v/>
      </c>
      <c r="AU821" t="inlineStr">
        <is>
          <t>112893120:eng</t>
        </is>
      </c>
      <c r="AV821" t="inlineStr">
        <is>
          <t>166368678</t>
        </is>
      </c>
      <c r="AW821" t="inlineStr">
        <is>
          <t>991005127419702656</t>
        </is>
      </c>
      <c r="AX821" t="inlineStr">
        <is>
          <t>991005127419702656</t>
        </is>
      </c>
      <c r="AY821" t="inlineStr">
        <is>
          <t>2259653940002656</t>
        </is>
      </c>
      <c r="AZ821" t="inlineStr">
        <is>
          <t>BOOK</t>
        </is>
      </c>
      <c r="BB821" t="inlineStr">
        <is>
          <t>9780761838586</t>
        </is>
      </c>
      <c r="BC821" t="inlineStr">
        <is>
          <t>32285005329163</t>
        </is>
      </c>
      <c r="BD821" t="inlineStr">
        <is>
          <t>893600662</t>
        </is>
      </c>
    </row>
    <row r="822">
      <c r="A822" t="inlineStr">
        <is>
          <t>No</t>
        </is>
      </c>
      <c r="B822" t="inlineStr">
        <is>
          <t>HV6691 .K65 2003</t>
        </is>
      </c>
      <c r="C822" t="inlineStr">
        <is>
          <t>0                      HV 6691000K  65          2003</t>
        </is>
      </c>
      <c r="D822" t="inlineStr">
        <is>
          <t>Fraud exposed : what you don't know could cost your company millions / Joseph W. Koletar.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Koletar, Joseph W.</t>
        </is>
      </c>
      <c r="L822" t="inlineStr">
        <is>
          <t>Hoboken, N.J. : John Wiley &amp; Sons, c2003.</t>
        </is>
      </c>
      <c r="M822" t="inlineStr">
        <is>
          <t>2003</t>
        </is>
      </c>
      <c r="O822" t="inlineStr">
        <is>
          <t>eng</t>
        </is>
      </c>
      <c r="P822" t="inlineStr">
        <is>
          <t>nju</t>
        </is>
      </c>
      <c r="R822" t="inlineStr">
        <is>
          <t xml:space="preserve">HV </t>
        </is>
      </c>
      <c r="S822" t="n">
        <v>3</v>
      </c>
      <c r="T822" t="n">
        <v>3</v>
      </c>
      <c r="U822" t="inlineStr">
        <is>
          <t>2006-11-01</t>
        </is>
      </c>
      <c r="V822" t="inlineStr">
        <is>
          <t>2006-11-01</t>
        </is>
      </c>
      <c r="W822" t="inlineStr">
        <is>
          <t>2003-03-17</t>
        </is>
      </c>
      <c r="X822" t="inlineStr">
        <is>
          <t>2003-03-17</t>
        </is>
      </c>
      <c r="Y822" t="n">
        <v>267</v>
      </c>
      <c r="Z822" t="n">
        <v>205</v>
      </c>
      <c r="AA822" t="n">
        <v>987</v>
      </c>
      <c r="AB822" t="n">
        <v>2</v>
      </c>
      <c r="AC822" t="n">
        <v>28</v>
      </c>
      <c r="AD822" t="n">
        <v>11</v>
      </c>
      <c r="AE822" t="n">
        <v>31</v>
      </c>
      <c r="AF822" t="n">
        <v>4</v>
      </c>
      <c r="AG822" t="n">
        <v>8</v>
      </c>
      <c r="AH822" t="n">
        <v>4</v>
      </c>
      <c r="AI822" t="n">
        <v>6</v>
      </c>
      <c r="AJ822" t="n">
        <v>8</v>
      </c>
      <c r="AK822" t="n">
        <v>11</v>
      </c>
      <c r="AL822" t="n">
        <v>1</v>
      </c>
      <c r="AM822" t="n">
        <v>13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HYPERLINK("https://creighton-primo.hosted.exlibrisgroup.com/primo-explore/search?tab=default_tab&amp;search_scope=EVERYTHING&amp;vid=01CRU&amp;lang=en_US&amp;offset=0&amp;query=any,contains,991003998179702656","Catalog Record")</f>
        <v/>
      </c>
      <c r="AT822">
        <f>HYPERLINK("http://www.worldcat.org/oclc/51454480","WorldCat Record")</f>
        <v/>
      </c>
      <c r="AU822" t="inlineStr">
        <is>
          <t>800329898:eng</t>
        </is>
      </c>
      <c r="AV822" t="inlineStr">
        <is>
          <t>51454480</t>
        </is>
      </c>
      <c r="AW822" t="inlineStr">
        <is>
          <t>991003998179702656</t>
        </is>
      </c>
      <c r="AX822" t="inlineStr">
        <is>
          <t>991003998179702656</t>
        </is>
      </c>
      <c r="AY822" t="inlineStr">
        <is>
          <t>2255269840002656</t>
        </is>
      </c>
      <c r="AZ822" t="inlineStr">
        <is>
          <t>BOOK</t>
        </is>
      </c>
      <c r="BB822" t="inlineStr">
        <is>
          <t>9780471274759</t>
        </is>
      </c>
      <c r="BC822" t="inlineStr">
        <is>
          <t>32285004684113</t>
        </is>
      </c>
      <c r="BD822" t="inlineStr">
        <is>
          <t>893718332</t>
        </is>
      </c>
    </row>
    <row r="823">
      <c r="A823" t="inlineStr">
        <is>
          <t>No</t>
        </is>
      </c>
      <c r="B823" t="inlineStr">
        <is>
          <t>HV6691 .W45 2007</t>
        </is>
      </c>
      <c r="C823" t="inlineStr">
        <is>
          <t>0                      HV 6691000W  45          2007</t>
        </is>
      </c>
      <c r="D823" t="inlineStr">
        <is>
          <t>Corporate fraud handbook : prevention and detection / Joseph T. Wells.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Wells, Joseph T.</t>
        </is>
      </c>
      <c r="L823" t="inlineStr">
        <is>
          <t>Hoboken, N.J. : John Wiley &amp; Sons, c2007.</t>
        </is>
      </c>
      <c r="M823" t="inlineStr">
        <is>
          <t>2007</t>
        </is>
      </c>
      <c r="N823" t="inlineStr">
        <is>
          <t>2nd ed.</t>
        </is>
      </c>
      <c r="O823" t="inlineStr">
        <is>
          <t>eng</t>
        </is>
      </c>
      <c r="P823" t="inlineStr">
        <is>
          <t>nju</t>
        </is>
      </c>
      <c r="R823" t="inlineStr">
        <is>
          <t xml:space="preserve">HV </t>
        </is>
      </c>
      <c r="S823" t="n">
        <v>3</v>
      </c>
      <c r="T823" t="n">
        <v>3</v>
      </c>
      <c r="U823" t="inlineStr">
        <is>
          <t>2009-10-12</t>
        </is>
      </c>
      <c r="V823" t="inlineStr">
        <is>
          <t>2009-10-12</t>
        </is>
      </c>
      <c r="W823" t="inlineStr">
        <is>
          <t>2009-05-06</t>
        </is>
      </c>
      <c r="X823" t="inlineStr">
        <is>
          <t>2009-05-06</t>
        </is>
      </c>
      <c r="Y823" t="n">
        <v>487</v>
      </c>
      <c r="Z823" t="n">
        <v>402</v>
      </c>
      <c r="AA823" t="n">
        <v>1015</v>
      </c>
      <c r="AB823" t="n">
        <v>3</v>
      </c>
      <c r="AC823" t="n">
        <v>9</v>
      </c>
      <c r="AD823" t="n">
        <v>18</v>
      </c>
      <c r="AE823" t="n">
        <v>46</v>
      </c>
      <c r="AF823" t="n">
        <v>11</v>
      </c>
      <c r="AG823" t="n">
        <v>16</v>
      </c>
      <c r="AH823" t="n">
        <v>5</v>
      </c>
      <c r="AI823" t="n">
        <v>10</v>
      </c>
      <c r="AJ823" t="n">
        <v>6</v>
      </c>
      <c r="AK823" t="n">
        <v>19</v>
      </c>
      <c r="AL823" t="n">
        <v>2</v>
      </c>
      <c r="AM823" t="n">
        <v>7</v>
      </c>
      <c r="AN823" t="n">
        <v>0</v>
      </c>
      <c r="AO823" t="n">
        <v>2</v>
      </c>
      <c r="AP823" t="inlineStr">
        <is>
          <t>No</t>
        </is>
      </c>
      <c r="AQ823" t="inlineStr">
        <is>
          <t>No</t>
        </is>
      </c>
      <c r="AS823">
        <f>HYPERLINK("https://creighton-primo.hosted.exlibrisgroup.com/primo-explore/search?tab=default_tab&amp;search_scope=EVERYTHING&amp;vid=01CRU&amp;lang=en_US&amp;offset=0&amp;query=any,contains,991005313489702656","Catalog Record")</f>
        <v/>
      </c>
      <c r="AT823">
        <f>HYPERLINK("http://www.worldcat.org/oclc/76143985","WorldCat Record")</f>
        <v/>
      </c>
      <c r="AU823" t="inlineStr">
        <is>
          <t>837081752:eng</t>
        </is>
      </c>
      <c r="AV823" t="inlineStr">
        <is>
          <t>76143985</t>
        </is>
      </c>
      <c r="AW823" t="inlineStr">
        <is>
          <t>991005313489702656</t>
        </is>
      </c>
      <c r="AX823" t="inlineStr">
        <is>
          <t>991005313489702656</t>
        </is>
      </c>
      <c r="AY823" t="inlineStr">
        <is>
          <t>2265630770002656</t>
        </is>
      </c>
      <c r="AZ823" t="inlineStr">
        <is>
          <t>BOOK</t>
        </is>
      </c>
      <c r="BB823" t="inlineStr">
        <is>
          <t>9780470095911</t>
        </is>
      </c>
      <c r="BC823" t="inlineStr">
        <is>
          <t>32285005531263</t>
        </is>
      </c>
      <c r="BD823" t="inlineStr">
        <is>
          <t>893720167</t>
        </is>
      </c>
    </row>
    <row r="824">
      <c r="A824" t="inlineStr">
        <is>
          <t>No</t>
        </is>
      </c>
      <c r="B824" t="inlineStr">
        <is>
          <t>HV6692.M33 K57 2009</t>
        </is>
      </c>
      <c r="C824" t="inlineStr">
        <is>
          <t>0                      HV 6692000M  33                 K  57          2009</t>
        </is>
      </c>
      <c r="D824" t="inlineStr">
        <is>
          <t>Betrayal : the life and lies of Bernie Madoff / Andrew Kirtzman.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Kirtzman, Andrew.</t>
        </is>
      </c>
      <c r="L824" t="inlineStr">
        <is>
          <t>New York, NY : Harper, c2009.</t>
        </is>
      </c>
      <c r="M824" t="inlineStr">
        <is>
          <t>2009</t>
        </is>
      </c>
      <c r="N824" t="inlineStr">
        <is>
          <t>1st ed.</t>
        </is>
      </c>
      <c r="O824" t="inlineStr">
        <is>
          <t>eng</t>
        </is>
      </c>
      <c r="P824" t="inlineStr">
        <is>
          <t>nyu</t>
        </is>
      </c>
      <c r="R824" t="inlineStr">
        <is>
          <t xml:space="preserve">HV </t>
        </is>
      </c>
      <c r="S824" t="n">
        <v>1</v>
      </c>
      <c r="T824" t="n">
        <v>1</v>
      </c>
      <c r="U824" t="inlineStr">
        <is>
          <t>2010-12-07</t>
        </is>
      </c>
      <c r="V824" t="inlineStr">
        <is>
          <t>2010-12-07</t>
        </is>
      </c>
      <c r="W824" t="inlineStr">
        <is>
          <t>2010-12-07</t>
        </is>
      </c>
      <c r="X824" t="inlineStr">
        <is>
          <t>2010-12-07</t>
        </is>
      </c>
      <c r="Y824" t="n">
        <v>517</v>
      </c>
      <c r="Z824" t="n">
        <v>467</v>
      </c>
      <c r="AA824" t="n">
        <v>508</v>
      </c>
      <c r="AB824" t="n">
        <v>2</v>
      </c>
      <c r="AC824" t="n">
        <v>2</v>
      </c>
      <c r="AD824" t="n">
        <v>8</v>
      </c>
      <c r="AE824" t="n">
        <v>8</v>
      </c>
      <c r="AF824" t="n">
        <v>3</v>
      </c>
      <c r="AG824" t="n">
        <v>3</v>
      </c>
      <c r="AH824" t="n">
        <v>2</v>
      </c>
      <c r="AI824" t="n">
        <v>2</v>
      </c>
      <c r="AJ824" t="n">
        <v>4</v>
      </c>
      <c r="AK824" t="n">
        <v>4</v>
      </c>
      <c r="AL824" t="n">
        <v>1</v>
      </c>
      <c r="AM824" t="n">
        <v>1</v>
      </c>
      <c r="AN824" t="n">
        <v>1</v>
      </c>
      <c r="AO824" t="n">
        <v>1</v>
      </c>
      <c r="AP824" t="inlineStr">
        <is>
          <t>No</t>
        </is>
      </c>
      <c r="AQ824" t="inlineStr">
        <is>
          <t>No</t>
        </is>
      </c>
      <c r="AS824">
        <f>HYPERLINK("https://creighton-primo.hosted.exlibrisgroup.com/primo-explore/search?tab=default_tab&amp;search_scope=EVERYTHING&amp;vid=01CRU&amp;lang=en_US&amp;offset=0&amp;query=any,contains,991000373919702656","Catalog Record")</f>
        <v/>
      </c>
      <c r="AT824">
        <f>HYPERLINK("http://www.worldcat.org/oclc/317925329","WorldCat Record")</f>
        <v/>
      </c>
      <c r="AU824" t="inlineStr">
        <is>
          <t>195191468:eng</t>
        </is>
      </c>
      <c r="AV824" t="inlineStr">
        <is>
          <t>317925329</t>
        </is>
      </c>
      <c r="AW824" t="inlineStr">
        <is>
          <t>991000373919702656</t>
        </is>
      </c>
      <c r="AX824" t="inlineStr">
        <is>
          <t>991000373919702656</t>
        </is>
      </c>
      <c r="AY824" t="inlineStr">
        <is>
          <t>2264478820002656</t>
        </is>
      </c>
      <c r="AZ824" t="inlineStr">
        <is>
          <t>BOOK</t>
        </is>
      </c>
      <c r="BB824" t="inlineStr">
        <is>
          <t>9780061870767</t>
        </is>
      </c>
      <c r="BC824" t="inlineStr">
        <is>
          <t>32285005609291</t>
        </is>
      </c>
      <c r="BD824" t="inlineStr">
        <is>
          <t>893243185</t>
        </is>
      </c>
    </row>
    <row r="825">
      <c r="A825" t="inlineStr">
        <is>
          <t>No</t>
        </is>
      </c>
      <c r="B825" t="inlineStr">
        <is>
          <t>HV6698.F6 S35 2008</t>
        </is>
      </c>
      <c r="C825" t="inlineStr">
        <is>
          <t>0                      HV 6698000F  6                  S  35          2008</t>
        </is>
      </c>
      <c r="D825" t="inlineStr">
        <is>
          <t>Undercover : how I went from company man to FBI spy--and exposed the worst healthcare fraud in U.S. history / John W. Schilling.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Schilling, John W.</t>
        </is>
      </c>
      <c r="L825" t="inlineStr">
        <is>
          <t>New York : American Management Association, c2008.</t>
        </is>
      </c>
      <c r="M825" t="inlineStr">
        <is>
          <t>2008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HV </t>
        </is>
      </c>
      <c r="S825" t="n">
        <v>1</v>
      </c>
      <c r="T825" t="n">
        <v>1</v>
      </c>
      <c r="U825" t="inlineStr">
        <is>
          <t>2008-04-14</t>
        </is>
      </c>
      <c r="V825" t="inlineStr">
        <is>
          <t>2008-04-14</t>
        </is>
      </c>
      <c r="W825" t="inlineStr">
        <is>
          <t>2008-04-14</t>
        </is>
      </c>
      <c r="X825" t="inlineStr">
        <is>
          <t>2008-04-14</t>
        </is>
      </c>
      <c r="Y825" t="n">
        <v>265</v>
      </c>
      <c r="Z825" t="n">
        <v>250</v>
      </c>
      <c r="AA825" t="n">
        <v>606</v>
      </c>
      <c r="AB825" t="n">
        <v>2</v>
      </c>
      <c r="AC825" t="n">
        <v>5</v>
      </c>
      <c r="AD825" t="n">
        <v>9</v>
      </c>
      <c r="AE825" t="n">
        <v>17</v>
      </c>
      <c r="AF825" t="n">
        <v>1</v>
      </c>
      <c r="AG825" t="n">
        <v>3</v>
      </c>
      <c r="AH825" t="n">
        <v>3</v>
      </c>
      <c r="AI825" t="n">
        <v>3</v>
      </c>
      <c r="AJ825" t="n">
        <v>4</v>
      </c>
      <c r="AK825" t="n">
        <v>7</v>
      </c>
      <c r="AL825" t="n">
        <v>1</v>
      </c>
      <c r="AM825" t="n">
        <v>4</v>
      </c>
      <c r="AN825" t="n">
        <v>2</v>
      </c>
      <c r="AO825" t="n">
        <v>2</v>
      </c>
      <c r="AP825" t="inlineStr">
        <is>
          <t>No</t>
        </is>
      </c>
      <c r="AQ825" t="inlineStr">
        <is>
          <t>No</t>
        </is>
      </c>
      <c r="AS825">
        <f>HYPERLINK("https://creighton-primo.hosted.exlibrisgroup.com/primo-explore/search?tab=default_tab&amp;search_scope=EVERYTHING&amp;vid=01CRU&amp;lang=en_US&amp;offset=0&amp;query=any,contains,991005205509702656","Catalog Record")</f>
        <v/>
      </c>
      <c r="AT825">
        <f>HYPERLINK("http://www.worldcat.org/oclc/176648861","WorldCat Record")</f>
        <v/>
      </c>
      <c r="AU825" t="inlineStr">
        <is>
          <t>802946722:eng</t>
        </is>
      </c>
      <c r="AV825" t="inlineStr">
        <is>
          <t>176648861</t>
        </is>
      </c>
      <c r="AW825" t="inlineStr">
        <is>
          <t>991005205509702656</t>
        </is>
      </c>
      <c r="AX825" t="inlineStr">
        <is>
          <t>991005205509702656</t>
        </is>
      </c>
      <c r="AY825" t="inlineStr">
        <is>
          <t>2264274090002656</t>
        </is>
      </c>
      <c r="AZ825" t="inlineStr">
        <is>
          <t>BOOK</t>
        </is>
      </c>
      <c r="BB825" t="inlineStr">
        <is>
          <t>9780814474501</t>
        </is>
      </c>
      <c r="BC825" t="inlineStr">
        <is>
          <t>32285005402366</t>
        </is>
      </c>
      <c r="BD825" t="inlineStr">
        <is>
          <t>893527102</t>
        </is>
      </c>
    </row>
    <row r="826">
      <c r="A826" t="inlineStr">
        <is>
          <t>No</t>
        </is>
      </c>
      <c r="B826" t="inlineStr">
        <is>
          <t>HV6698.Z9 P53 2004</t>
        </is>
      </c>
      <c r="C826" t="inlineStr">
        <is>
          <t>0                      HV 6698000Z  9                  P  53          2004</t>
        </is>
      </c>
      <c r="D826" t="inlineStr">
        <is>
          <t>Ponzi : the incredible true story of the king of financial cons / Donald H. Dunn.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Dunn, Donald H.</t>
        </is>
      </c>
      <c r="L826" t="inlineStr">
        <is>
          <t>New York : Broadway Books, 2004.</t>
        </is>
      </c>
      <c r="M826" t="inlineStr">
        <is>
          <t>2004</t>
        </is>
      </c>
      <c r="N826" t="inlineStr">
        <is>
          <t>1st Broadway Books trade pbk. ed.</t>
        </is>
      </c>
      <c r="O826" t="inlineStr">
        <is>
          <t>eng</t>
        </is>
      </c>
      <c r="P826" t="inlineStr">
        <is>
          <t>nyu</t>
        </is>
      </c>
      <c r="Q826" t="inlineStr">
        <is>
          <t>Broadway library of larceny</t>
        </is>
      </c>
      <c r="R826" t="inlineStr">
        <is>
          <t xml:space="preserve">HV </t>
        </is>
      </c>
      <c r="S826" t="n">
        <v>2</v>
      </c>
      <c r="T826" t="n">
        <v>2</v>
      </c>
      <c r="U826" t="inlineStr">
        <is>
          <t>2004-08-17</t>
        </is>
      </c>
      <c r="V826" t="inlineStr">
        <is>
          <t>2004-08-17</t>
        </is>
      </c>
      <c r="W826" t="inlineStr">
        <is>
          <t>2004-08-17</t>
        </is>
      </c>
      <c r="X826" t="inlineStr">
        <is>
          <t>2004-08-17</t>
        </is>
      </c>
      <c r="Y826" t="n">
        <v>119</v>
      </c>
      <c r="Z826" t="n">
        <v>109</v>
      </c>
      <c r="AA826" t="n">
        <v>151</v>
      </c>
      <c r="AB826" t="n">
        <v>1</v>
      </c>
      <c r="AC826" t="n">
        <v>2</v>
      </c>
      <c r="AD826" t="n">
        <v>3</v>
      </c>
      <c r="AE826" t="n">
        <v>6</v>
      </c>
      <c r="AF826" t="n">
        <v>0</v>
      </c>
      <c r="AG826" t="n">
        <v>1</v>
      </c>
      <c r="AH826" t="n">
        <v>0</v>
      </c>
      <c r="AI826" t="n">
        <v>0</v>
      </c>
      <c r="AJ826" t="n">
        <v>1</v>
      </c>
      <c r="AK826" t="n">
        <v>2</v>
      </c>
      <c r="AL826" t="n">
        <v>0</v>
      </c>
      <c r="AM826" t="n">
        <v>1</v>
      </c>
      <c r="AN826" t="n">
        <v>2</v>
      </c>
      <c r="AO826" t="n">
        <v>2</v>
      </c>
      <c r="AP826" t="inlineStr">
        <is>
          <t>No</t>
        </is>
      </c>
      <c r="AQ826" t="inlineStr">
        <is>
          <t>No</t>
        </is>
      </c>
      <c r="AS826">
        <f>HYPERLINK("https://creighton-primo.hosted.exlibrisgroup.com/primo-explore/search?tab=default_tab&amp;search_scope=EVERYTHING&amp;vid=01CRU&amp;lang=en_US&amp;offset=0&amp;query=any,contains,991004334999702656","Catalog Record")</f>
        <v/>
      </c>
      <c r="AT826">
        <f>HYPERLINK("http://www.worldcat.org/oclc/54772506","WorldCat Record")</f>
        <v/>
      </c>
      <c r="AU826" t="inlineStr">
        <is>
          <t>793919053:eng</t>
        </is>
      </c>
      <c r="AV826" t="inlineStr">
        <is>
          <t>54772506</t>
        </is>
      </c>
      <c r="AW826" t="inlineStr">
        <is>
          <t>991004334999702656</t>
        </is>
      </c>
      <c r="AX826" t="inlineStr">
        <is>
          <t>991004334999702656</t>
        </is>
      </c>
      <c r="AY826" t="inlineStr">
        <is>
          <t>2271323540002656</t>
        </is>
      </c>
      <c r="AZ826" t="inlineStr">
        <is>
          <t>BOOK</t>
        </is>
      </c>
      <c r="BB826" t="inlineStr">
        <is>
          <t>9780767914994</t>
        </is>
      </c>
      <c r="BC826" t="inlineStr">
        <is>
          <t>32285004982293</t>
        </is>
      </c>
      <c r="BD826" t="inlineStr">
        <is>
          <t>893519520</t>
        </is>
      </c>
    </row>
    <row r="827">
      <c r="A827" t="inlineStr">
        <is>
          <t>No</t>
        </is>
      </c>
      <c r="B827" t="inlineStr">
        <is>
          <t>HV6705 .C6 1967</t>
        </is>
      </c>
      <c r="C827" t="inlineStr">
        <is>
          <t>0                      HV 6705000C  6           1967</t>
        </is>
      </c>
      <c r="D827" t="inlineStr">
        <is>
          <t>Traps for the young. Edited by Robert Bremner.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Comstock, Anthony, 1844-1915.</t>
        </is>
      </c>
      <c r="L827" t="inlineStr">
        <is>
          <t>Cambridge, Belknap Press of Harvard University Press, 1967.</t>
        </is>
      </c>
      <c r="M827" t="inlineStr">
        <is>
          <t>1967</t>
        </is>
      </c>
      <c r="O827" t="inlineStr">
        <is>
          <t>eng</t>
        </is>
      </c>
      <c r="P827" t="inlineStr">
        <is>
          <t>mau</t>
        </is>
      </c>
      <c r="Q827" t="inlineStr">
        <is>
          <t>The John Harvard library</t>
        </is>
      </c>
      <c r="R827" t="inlineStr">
        <is>
          <t xml:space="preserve">HV </t>
        </is>
      </c>
      <c r="S827" t="n">
        <v>3</v>
      </c>
      <c r="T827" t="n">
        <v>3</v>
      </c>
      <c r="U827" t="inlineStr">
        <is>
          <t>1999-03-18</t>
        </is>
      </c>
      <c r="V827" t="inlineStr">
        <is>
          <t>1999-03-18</t>
        </is>
      </c>
      <c r="W827" t="inlineStr">
        <is>
          <t>1997-08-25</t>
        </is>
      </c>
      <c r="X827" t="inlineStr">
        <is>
          <t>1997-08-25</t>
        </is>
      </c>
      <c r="Y827" t="n">
        <v>534</v>
      </c>
      <c r="Z827" t="n">
        <v>486</v>
      </c>
      <c r="AA827" t="n">
        <v>645</v>
      </c>
      <c r="AB827" t="n">
        <v>5</v>
      </c>
      <c r="AC827" t="n">
        <v>6</v>
      </c>
      <c r="AD827" t="n">
        <v>25</v>
      </c>
      <c r="AE827" t="n">
        <v>29</v>
      </c>
      <c r="AF827" t="n">
        <v>10</v>
      </c>
      <c r="AG827" t="n">
        <v>11</v>
      </c>
      <c r="AH827" t="n">
        <v>4</v>
      </c>
      <c r="AI827" t="n">
        <v>6</v>
      </c>
      <c r="AJ827" t="n">
        <v>10</v>
      </c>
      <c r="AK827" t="n">
        <v>10</v>
      </c>
      <c r="AL827" t="n">
        <v>4</v>
      </c>
      <c r="AM827" t="n">
        <v>5</v>
      </c>
      <c r="AN827" t="n">
        <v>2</v>
      </c>
      <c r="AO827" t="n">
        <v>2</v>
      </c>
      <c r="AP827" t="inlineStr">
        <is>
          <t>No</t>
        </is>
      </c>
      <c r="AQ827" t="inlineStr">
        <is>
          <t>No</t>
        </is>
      </c>
      <c r="AS827">
        <f>HYPERLINK("https://creighton-primo.hosted.exlibrisgroup.com/primo-explore/search?tab=default_tab&amp;search_scope=EVERYTHING&amp;vid=01CRU&amp;lang=en_US&amp;offset=0&amp;query=any,contains,991001667379702656","Catalog Record")</f>
        <v/>
      </c>
      <c r="AT827">
        <f>HYPERLINK("http://www.worldcat.org/oclc/234098","WorldCat Record")</f>
        <v/>
      </c>
      <c r="AU827" t="inlineStr">
        <is>
          <t>430704:eng</t>
        </is>
      </c>
      <c r="AV827" t="inlineStr">
        <is>
          <t>234098</t>
        </is>
      </c>
      <c r="AW827" t="inlineStr">
        <is>
          <t>991001667379702656</t>
        </is>
      </c>
      <c r="AX827" t="inlineStr">
        <is>
          <t>991001667379702656</t>
        </is>
      </c>
      <c r="AY827" t="inlineStr">
        <is>
          <t>2257517720002656</t>
        </is>
      </c>
      <c r="AZ827" t="inlineStr">
        <is>
          <t>BOOK</t>
        </is>
      </c>
      <c r="BC827" t="inlineStr">
        <is>
          <t>32285003158465</t>
        </is>
      </c>
      <c r="BD827" t="inlineStr">
        <is>
          <t>893408272</t>
        </is>
      </c>
    </row>
    <row r="828">
      <c r="A828" t="inlineStr">
        <is>
          <t>No</t>
        </is>
      </c>
      <c r="B828" t="inlineStr">
        <is>
          <t>HV6705 .S385</t>
        </is>
      </c>
      <c r="C828" t="inlineStr">
        <is>
          <t>0                      HV 6705000S  385</t>
        </is>
      </c>
      <c r="D828" t="inlineStr">
        <is>
          <t>Victimless crimes : two sides of a controversy / [by] Edwin M. Schur and Hugo Adam Bedau.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Schur, Edwin M.</t>
        </is>
      </c>
      <c r="L828" t="inlineStr">
        <is>
          <t>Englewood Cliffs, N.J. : Prentice-Hall, [1974]</t>
        </is>
      </c>
      <c r="M828" t="inlineStr">
        <is>
          <t>1974</t>
        </is>
      </c>
      <c r="O828" t="inlineStr">
        <is>
          <t>eng</t>
        </is>
      </c>
      <c r="P828" t="inlineStr">
        <is>
          <t>nju</t>
        </is>
      </c>
      <c r="Q828" t="inlineStr">
        <is>
          <t>A Spectrum book, S-351</t>
        </is>
      </c>
      <c r="R828" t="inlineStr">
        <is>
          <t xml:space="preserve">HV </t>
        </is>
      </c>
      <c r="S828" t="n">
        <v>11</v>
      </c>
      <c r="T828" t="n">
        <v>11</v>
      </c>
      <c r="U828" t="inlineStr">
        <is>
          <t>1997-11-12</t>
        </is>
      </c>
      <c r="V828" t="inlineStr">
        <is>
          <t>1997-11-12</t>
        </is>
      </c>
      <c r="W828" t="inlineStr">
        <is>
          <t>1992-03-20</t>
        </is>
      </c>
      <c r="X828" t="inlineStr">
        <is>
          <t>1992-03-20</t>
        </is>
      </c>
      <c r="Y828" t="n">
        <v>846</v>
      </c>
      <c r="Z828" t="n">
        <v>711</v>
      </c>
      <c r="AA828" t="n">
        <v>718</v>
      </c>
      <c r="AB828" t="n">
        <v>5</v>
      </c>
      <c r="AC828" t="n">
        <v>5</v>
      </c>
      <c r="AD828" t="n">
        <v>29</v>
      </c>
      <c r="AE828" t="n">
        <v>29</v>
      </c>
      <c r="AF828" t="n">
        <v>9</v>
      </c>
      <c r="AG828" t="n">
        <v>9</v>
      </c>
      <c r="AH828" t="n">
        <v>6</v>
      </c>
      <c r="AI828" t="n">
        <v>6</v>
      </c>
      <c r="AJ828" t="n">
        <v>13</v>
      </c>
      <c r="AK828" t="n">
        <v>13</v>
      </c>
      <c r="AL828" t="n">
        <v>2</v>
      </c>
      <c r="AM828" t="n">
        <v>2</v>
      </c>
      <c r="AN828" t="n">
        <v>7</v>
      </c>
      <c r="AO828" t="n">
        <v>7</v>
      </c>
      <c r="AP828" t="inlineStr">
        <is>
          <t>No</t>
        </is>
      </c>
      <c r="AQ828" t="inlineStr">
        <is>
          <t>Yes</t>
        </is>
      </c>
      <c r="AR828">
        <f>HYPERLINK("http://catalog.hathitrust.org/Record/004402067","HathiTrust Record")</f>
        <v/>
      </c>
      <c r="AS828">
        <f>HYPERLINK("https://creighton-primo.hosted.exlibrisgroup.com/primo-explore/search?tab=default_tab&amp;search_scope=EVERYTHING&amp;vid=01CRU&amp;lang=en_US&amp;offset=0&amp;query=any,contains,991003495699702656","Catalog Record")</f>
        <v/>
      </c>
      <c r="AT828">
        <f>HYPERLINK("http://www.worldcat.org/oclc/1046082","WorldCat Record")</f>
        <v/>
      </c>
      <c r="AU828" t="inlineStr">
        <is>
          <t>1017440121:eng</t>
        </is>
      </c>
      <c r="AV828" t="inlineStr">
        <is>
          <t>1046082</t>
        </is>
      </c>
      <c r="AW828" t="inlineStr">
        <is>
          <t>991003495699702656</t>
        </is>
      </c>
      <c r="AX828" t="inlineStr">
        <is>
          <t>991003495699702656</t>
        </is>
      </c>
      <c r="AY828" t="inlineStr">
        <is>
          <t>2266857930002656</t>
        </is>
      </c>
      <c r="AZ828" t="inlineStr">
        <is>
          <t>BOOK</t>
        </is>
      </c>
      <c r="BB828" t="inlineStr">
        <is>
          <t>9780139416903</t>
        </is>
      </c>
      <c r="BC828" t="inlineStr">
        <is>
          <t>32285001024834</t>
        </is>
      </c>
      <c r="BD828" t="inlineStr">
        <is>
          <t>893692763</t>
        </is>
      </c>
    </row>
    <row r="829">
      <c r="A829" t="inlineStr">
        <is>
          <t>No</t>
        </is>
      </c>
      <c r="B829" t="inlineStr">
        <is>
          <t>HV6710 .S24 1982</t>
        </is>
      </c>
      <c r="C829" t="inlineStr">
        <is>
          <t>0                      HV 6710000S  24          1982</t>
        </is>
      </c>
      <c r="D829" t="inlineStr">
        <is>
          <t>Bookies and bettors : two hundred years of gambling / Richard Sasuly.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Sasuly, Richard, 1913-</t>
        </is>
      </c>
      <c r="L829" t="inlineStr">
        <is>
          <t>New York : Holt, Rinehart and Winston, c1982.</t>
        </is>
      </c>
      <c r="M829" t="inlineStr">
        <is>
          <t>1982</t>
        </is>
      </c>
      <c r="N829" t="inlineStr">
        <is>
          <t>1st ed.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HV </t>
        </is>
      </c>
      <c r="S829" t="n">
        <v>23</v>
      </c>
      <c r="T829" t="n">
        <v>23</v>
      </c>
      <c r="U829" t="inlineStr">
        <is>
          <t>1997-11-15</t>
        </is>
      </c>
      <c r="V829" t="inlineStr">
        <is>
          <t>1997-11-15</t>
        </is>
      </c>
      <c r="W829" t="inlineStr">
        <is>
          <t>1990-02-22</t>
        </is>
      </c>
      <c r="X829" t="inlineStr">
        <is>
          <t>1990-02-22</t>
        </is>
      </c>
      <c r="Y829" t="n">
        <v>426</v>
      </c>
      <c r="Z829" t="n">
        <v>403</v>
      </c>
      <c r="AA829" t="n">
        <v>419</v>
      </c>
      <c r="AB829" t="n">
        <v>2</v>
      </c>
      <c r="AC829" t="n">
        <v>2</v>
      </c>
      <c r="AD829" t="n">
        <v>6</v>
      </c>
      <c r="AE829" t="n">
        <v>8</v>
      </c>
      <c r="AF829" t="n">
        <v>2</v>
      </c>
      <c r="AG829" t="n">
        <v>3</v>
      </c>
      <c r="AH829" t="n">
        <v>1</v>
      </c>
      <c r="AI829" t="n">
        <v>2</v>
      </c>
      <c r="AJ829" t="n">
        <v>5</v>
      </c>
      <c r="AK829" t="n">
        <v>5</v>
      </c>
      <c r="AL829" t="n">
        <v>1</v>
      </c>
      <c r="AM829" t="n">
        <v>1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HYPERLINK("https://creighton-primo.hosted.exlibrisgroup.com/primo-explore/search?tab=default_tab&amp;search_scope=EVERYTHING&amp;vid=01CRU&amp;lang=en_US&amp;offset=0&amp;query=any,contains,991005166459702656","Catalog Record")</f>
        <v/>
      </c>
      <c r="AT829">
        <f>HYPERLINK("http://www.worldcat.org/oclc/7835992","WorldCat Record")</f>
        <v/>
      </c>
      <c r="AU829" t="inlineStr">
        <is>
          <t>29749237:eng</t>
        </is>
      </c>
      <c r="AV829" t="inlineStr">
        <is>
          <t>7835992</t>
        </is>
      </c>
      <c r="AW829" t="inlineStr">
        <is>
          <t>991005166459702656</t>
        </is>
      </c>
      <c r="AX829" t="inlineStr">
        <is>
          <t>991005166459702656</t>
        </is>
      </c>
      <c r="AY829" t="inlineStr">
        <is>
          <t>2255100270002656</t>
        </is>
      </c>
      <c r="AZ829" t="inlineStr">
        <is>
          <t>BOOK</t>
        </is>
      </c>
      <c r="BB829" t="inlineStr">
        <is>
          <t>9780030537561</t>
        </is>
      </c>
      <c r="BC829" t="inlineStr">
        <is>
          <t>32285000059005</t>
        </is>
      </c>
      <c r="BD829" t="inlineStr">
        <is>
          <t>893430974</t>
        </is>
      </c>
    </row>
    <row r="830">
      <c r="A830" t="inlineStr">
        <is>
          <t>No</t>
        </is>
      </c>
      <c r="B830" t="inlineStr">
        <is>
          <t>HV6710 .T48 1994</t>
        </is>
      </c>
      <c r="C830" t="inlineStr">
        <is>
          <t>0                      HV 6710000T  48          1994</t>
        </is>
      </c>
      <c r="D830" t="inlineStr">
        <is>
          <t>Legalized gambling : a reference handbook / William N. Thompson.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Yes</t>
        </is>
      </c>
      <c r="J830" t="inlineStr">
        <is>
          <t>0</t>
        </is>
      </c>
      <c r="K830" t="inlineStr">
        <is>
          <t>Thompson, William Norman.</t>
        </is>
      </c>
      <c r="L830" t="inlineStr">
        <is>
          <t>Denver, Colo. : ABC-CLIO, c1994.</t>
        </is>
      </c>
      <c r="M830" t="inlineStr">
        <is>
          <t>1994</t>
        </is>
      </c>
      <c r="O830" t="inlineStr">
        <is>
          <t>eng</t>
        </is>
      </c>
      <c r="P830" t="inlineStr">
        <is>
          <t>cau</t>
        </is>
      </c>
      <c r="Q830" t="inlineStr">
        <is>
          <t>Contemporary world issues</t>
        </is>
      </c>
      <c r="R830" t="inlineStr">
        <is>
          <t xml:space="preserve">HV </t>
        </is>
      </c>
      <c r="S830" t="n">
        <v>21</v>
      </c>
      <c r="T830" t="n">
        <v>21</v>
      </c>
      <c r="U830" t="inlineStr">
        <is>
          <t>2007-12-14</t>
        </is>
      </c>
      <c r="V830" t="inlineStr">
        <is>
          <t>2007-12-14</t>
        </is>
      </c>
      <c r="W830" t="inlineStr">
        <is>
          <t>1994-10-11</t>
        </is>
      </c>
      <c r="X830" t="inlineStr">
        <is>
          <t>1994-10-11</t>
        </is>
      </c>
      <c r="Y830" t="n">
        <v>702</v>
      </c>
      <c r="Z830" t="n">
        <v>655</v>
      </c>
      <c r="AA830" t="n">
        <v>1689</v>
      </c>
      <c r="AB830" t="n">
        <v>4</v>
      </c>
      <c r="AC830" t="n">
        <v>10</v>
      </c>
      <c r="AD830" t="n">
        <v>18</v>
      </c>
      <c r="AE830" t="n">
        <v>38</v>
      </c>
      <c r="AF830" t="n">
        <v>6</v>
      </c>
      <c r="AG830" t="n">
        <v>16</v>
      </c>
      <c r="AH830" t="n">
        <v>3</v>
      </c>
      <c r="AI830" t="n">
        <v>8</v>
      </c>
      <c r="AJ830" t="n">
        <v>8</v>
      </c>
      <c r="AK830" t="n">
        <v>16</v>
      </c>
      <c r="AL830" t="n">
        <v>1</v>
      </c>
      <c r="AM830" t="n">
        <v>5</v>
      </c>
      <c r="AN830" t="n">
        <v>3</v>
      </c>
      <c r="AO830" t="n">
        <v>3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HYPERLINK("http://catalog.hathitrust.org/Record/004552295","HathiTrust Record")</f>
        <v/>
      </c>
      <c r="AS830">
        <f>HYPERLINK("https://creighton-primo.hosted.exlibrisgroup.com/primo-explore/search?tab=default_tab&amp;search_scope=EVERYTHING&amp;vid=01CRU&amp;lang=en_US&amp;offset=0&amp;query=any,contains,991002348189702656","Catalog Record")</f>
        <v/>
      </c>
      <c r="AT830">
        <f>HYPERLINK("http://www.worldcat.org/oclc/30593364","WorldCat Record")</f>
        <v/>
      </c>
      <c r="AU830" t="inlineStr">
        <is>
          <t>375846:eng</t>
        </is>
      </c>
      <c r="AV830" t="inlineStr">
        <is>
          <t>30593364</t>
        </is>
      </c>
      <c r="AW830" t="inlineStr">
        <is>
          <t>991002348189702656</t>
        </is>
      </c>
      <c r="AX830" t="inlineStr">
        <is>
          <t>991002348189702656</t>
        </is>
      </c>
      <c r="AY830" t="inlineStr">
        <is>
          <t>2263345330002656</t>
        </is>
      </c>
      <c r="AZ830" t="inlineStr">
        <is>
          <t>BOOK</t>
        </is>
      </c>
      <c r="BB830" t="inlineStr">
        <is>
          <t>9780874367294</t>
        </is>
      </c>
      <c r="BC830" t="inlineStr">
        <is>
          <t>32285001867901</t>
        </is>
      </c>
      <c r="BD830" t="inlineStr">
        <is>
          <t>893510625</t>
        </is>
      </c>
    </row>
    <row r="831">
      <c r="A831" t="inlineStr">
        <is>
          <t>No</t>
        </is>
      </c>
      <c r="B831" t="inlineStr">
        <is>
          <t>HV6710 .W33 1988</t>
        </is>
      </c>
      <c r="C831" t="inlineStr">
        <is>
          <t>0                      HV 6710000W  33          1988</t>
        </is>
      </c>
      <c r="D831" t="inlineStr">
        <is>
          <t>Paradoxes of gambling behaviour / Willem Albert Wagenaar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Wagenaar, Willem Albert, 1941-2011.</t>
        </is>
      </c>
      <c r="L831" t="inlineStr">
        <is>
          <t>Hove, UK ; Hillsdale, [N.J.], USA : Erlbaum, c1988</t>
        </is>
      </c>
      <c r="M831" t="inlineStr">
        <is>
          <t>1988</t>
        </is>
      </c>
      <c r="O831" t="inlineStr">
        <is>
          <t>eng</t>
        </is>
      </c>
      <c r="P831" t="inlineStr">
        <is>
          <t>enk</t>
        </is>
      </c>
      <c r="Q831" t="inlineStr">
        <is>
          <t>Essays in cognitive psychology</t>
        </is>
      </c>
      <c r="R831" t="inlineStr">
        <is>
          <t xml:space="preserve">HV </t>
        </is>
      </c>
      <c r="S831" t="n">
        <v>38</v>
      </c>
      <c r="T831" t="n">
        <v>38</v>
      </c>
      <c r="U831" t="inlineStr">
        <is>
          <t>2005-04-07</t>
        </is>
      </c>
      <c r="V831" t="inlineStr">
        <is>
          <t>2005-04-07</t>
        </is>
      </c>
      <c r="W831" t="inlineStr">
        <is>
          <t>1991-02-25</t>
        </is>
      </c>
      <c r="X831" t="inlineStr">
        <is>
          <t>1991-02-25</t>
        </is>
      </c>
      <c r="Y831" t="n">
        <v>271</v>
      </c>
      <c r="Z831" t="n">
        <v>185</v>
      </c>
      <c r="AA831" t="n">
        <v>209</v>
      </c>
      <c r="AB831" t="n">
        <v>2</v>
      </c>
      <c r="AC831" t="n">
        <v>2</v>
      </c>
      <c r="AD831" t="n">
        <v>9</v>
      </c>
      <c r="AE831" t="n">
        <v>9</v>
      </c>
      <c r="AF831" t="n">
        <v>4</v>
      </c>
      <c r="AG831" t="n">
        <v>4</v>
      </c>
      <c r="AH831" t="n">
        <v>3</v>
      </c>
      <c r="AI831" t="n">
        <v>3</v>
      </c>
      <c r="AJ831" t="n">
        <v>6</v>
      </c>
      <c r="AK831" t="n">
        <v>6</v>
      </c>
      <c r="AL831" t="n">
        <v>1</v>
      </c>
      <c r="AM831" t="n">
        <v>1</v>
      </c>
      <c r="AN831" t="n">
        <v>0</v>
      </c>
      <c r="AO831" t="n">
        <v>0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HYPERLINK("https://creighton-primo.hosted.exlibrisgroup.com/primo-explore/search?tab=default_tab&amp;search_scope=EVERYTHING&amp;vid=01CRU&amp;lang=en_US&amp;offset=0&amp;query=any,contains,991005411639702656","Catalog Record")</f>
        <v/>
      </c>
      <c r="AT831">
        <f>HYPERLINK("http://www.worldcat.org/oclc/18523286","WorldCat Record")</f>
        <v/>
      </c>
      <c r="AU831" t="inlineStr">
        <is>
          <t>17655852:eng</t>
        </is>
      </c>
      <c r="AV831" t="inlineStr">
        <is>
          <t>18523286</t>
        </is>
      </c>
      <c r="AW831" t="inlineStr">
        <is>
          <t>991005411639702656</t>
        </is>
      </c>
      <c r="AX831" t="inlineStr">
        <is>
          <t>991005411639702656</t>
        </is>
      </c>
      <c r="AY831" t="inlineStr">
        <is>
          <t>2271836870002656</t>
        </is>
      </c>
      <c r="AZ831" t="inlineStr">
        <is>
          <t>BOOK</t>
        </is>
      </c>
      <c r="BB831" t="inlineStr">
        <is>
          <t>9780863770807</t>
        </is>
      </c>
      <c r="BC831" t="inlineStr">
        <is>
          <t>32285000491901</t>
        </is>
      </c>
      <c r="BD831" t="inlineStr">
        <is>
          <t>893351235</t>
        </is>
      </c>
    </row>
    <row r="832">
      <c r="A832" t="inlineStr">
        <is>
          <t>No</t>
        </is>
      </c>
      <c r="B832" t="inlineStr">
        <is>
          <t>HV6711 .P64 1987</t>
        </is>
      </c>
      <c r="C832" t="inlineStr">
        <is>
          <t>0                      HV 6711000P  64          1987</t>
        </is>
      </c>
      <c r="D832" t="inlineStr">
        <is>
          <t>Hostage to fortune : Atlantic City and casino gambling / Michael Pollock.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Pollock, Michael, 1954-</t>
        </is>
      </c>
      <c r="L832" t="inlineStr">
        <is>
          <t>Princeton, N.J. : Center for Analysis of Public Issues, 1987.</t>
        </is>
      </c>
      <c r="M832" t="inlineStr">
        <is>
          <t>1987</t>
        </is>
      </c>
      <c r="O832" t="inlineStr">
        <is>
          <t>eng</t>
        </is>
      </c>
      <c r="P832" t="inlineStr">
        <is>
          <t>nju</t>
        </is>
      </c>
      <c r="R832" t="inlineStr">
        <is>
          <t xml:space="preserve">HV </t>
        </is>
      </c>
      <c r="S832" t="n">
        <v>31</v>
      </c>
      <c r="T832" t="n">
        <v>31</v>
      </c>
      <c r="U832" t="inlineStr">
        <is>
          <t>2007-11-26</t>
        </is>
      </c>
      <c r="V832" t="inlineStr">
        <is>
          <t>2007-11-26</t>
        </is>
      </c>
      <c r="W832" t="inlineStr">
        <is>
          <t>1992-03-13</t>
        </is>
      </c>
      <c r="X832" t="inlineStr">
        <is>
          <t>1992-03-13</t>
        </is>
      </c>
      <c r="Y832" t="n">
        <v>74</v>
      </c>
      <c r="Z832" t="n">
        <v>67</v>
      </c>
      <c r="AA832" t="n">
        <v>69</v>
      </c>
      <c r="AB832" t="n">
        <v>1</v>
      </c>
      <c r="AC832" t="n">
        <v>1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0</v>
      </c>
      <c r="AM832" t="n">
        <v>0</v>
      </c>
      <c r="AN832" t="n">
        <v>0</v>
      </c>
      <c r="AO832" t="n">
        <v>0</v>
      </c>
      <c r="AP832" t="inlineStr">
        <is>
          <t>No</t>
        </is>
      </c>
      <c r="AQ832" t="inlineStr">
        <is>
          <t>Yes</t>
        </is>
      </c>
      <c r="AR832">
        <f>HYPERLINK("http://catalog.hathitrust.org/Record/001530771","HathiTrust Record")</f>
        <v/>
      </c>
      <c r="AS832">
        <f>HYPERLINK("https://creighton-primo.hosted.exlibrisgroup.com/primo-explore/search?tab=default_tab&amp;search_scope=EVERYTHING&amp;vid=01CRU&amp;lang=en_US&amp;offset=0&amp;query=any,contains,991001192369702656","Catalog Record")</f>
        <v/>
      </c>
      <c r="AT832">
        <f>HYPERLINK("http://www.worldcat.org/oclc/17261296","WorldCat Record")</f>
        <v/>
      </c>
      <c r="AU832" t="inlineStr">
        <is>
          <t>467420657:eng</t>
        </is>
      </c>
      <c r="AV832" t="inlineStr">
        <is>
          <t>17261296</t>
        </is>
      </c>
      <c r="AW832" t="inlineStr">
        <is>
          <t>991001192369702656</t>
        </is>
      </c>
      <c r="AX832" t="inlineStr">
        <is>
          <t>991001192369702656</t>
        </is>
      </c>
      <c r="AY832" t="inlineStr">
        <is>
          <t>2268281220002656</t>
        </is>
      </c>
      <c r="AZ832" t="inlineStr">
        <is>
          <t>BOOK</t>
        </is>
      </c>
      <c r="BC832" t="inlineStr">
        <is>
          <t>32285001001774</t>
        </is>
      </c>
      <c r="BD832" t="inlineStr">
        <is>
          <t>893803428</t>
        </is>
      </c>
    </row>
    <row r="833">
      <c r="A833" t="inlineStr">
        <is>
          <t>No</t>
        </is>
      </c>
      <c r="B833" t="inlineStr">
        <is>
          <t>HV6713 .C44 1928</t>
        </is>
      </c>
      <c r="C833" t="inlineStr">
        <is>
          <t>0                      HV 6713000C  44          1928</t>
        </is>
      </c>
      <c r="D833" t="inlineStr">
        <is>
          <t>Gambling &amp; betting : a short study dealing with their origin and their relation to morality and religion / by R. H. Charles.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Charles, R. H. (Robert Henry), 1855-1931.</t>
        </is>
      </c>
      <c r="L833" t="inlineStr">
        <is>
          <t>Edinburgh : T. &amp; T. Clark, 1928, c1924.</t>
        </is>
      </c>
      <c r="M833" t="inlineStr">
        <is>
          <t>1928</t>
        </is>
      </c>
      <c r="O833" t="inlineStr">
        <is>
          <t>eng</t>
        </is>
      </c>
      <c r="P833" t="inlineStr">
        <is>
          <t>stk</t>
        </is>
      </c>
      <c r="R833" t="inlineStr">
        <is>
          <t xml:space="preserve">HV </t>
        </is>
      </c>
      <c r="S833" t="n">
        <v>29</v>
      </c>
      <c r="T833" t="n">
        <v>29</v>
      </c>
      <c r="U833" t="inlineStr">
        <is>
          <t>2009-04-06</t>
        </is>
      </c>
      <c r="V833" t="inlineStr">
        <is>
          <t>2009-04-06</t>
        </is>
      </c>
      <c r="W833" t="inlineStr">
        <is>
          <t>1992-03-20</t>
        </is>
      </c>
      <c r="X833" t="inlineStr">
        <is>
          <t>1992-03-20</t>
        </is>
      </c>
      <c r="Y833" t="n">
        <v>60</v>
      </c>
      <c r="Z833" t="n">
        <v>39</v>
      </c>
      <c r="AA833" t="n">
        <v>49</v>
      </c>
      <c r="AB833" t="n">
        <v>1</v>
      </c>
      <c r="AC833" t="n">
        <v>1</v>
      </c>
      <c r="AD833" t="n">
        <v>3</v>
      </c>
      <c r="AE833" t="n">
        <v>3</v>
      </c>
      <c r="AF833" t="n">
        <v>0</v>
      </c>
      <c r="AG833" t="n">
        <v>0</v>
      </c>
      <c r="AH833" t="n">
        <v>1</v>
      </c>
      <c r="AI833" t="n">
        <v>1</v>
      </c>
      <c r="AJ833" t="n">
        <v>3</v>
      </c>
      <c r="AK833" t="n">
        <v>3</v>
      </c>
      <c r="AL833" t="n">
        <v>0</v>
      </c>
      <c r="AM833" t="n">
        <v>0</v>
      </c>
      <c r="AN833" t="n">
        <v>0</v>
      </c>
      <c r="AO833" t="n">
        <v>0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HYPERLINK("https://creighton-primo.hosted.exlibrisgroup.com/primo-explore/search?tab=default_tab&amp;search_scope=EVERYTHING&amp;vid=01CRU&amp;lang=en_US&amp;offset=0&amp;query=any,contains,991004106089702656","Catalog Record")</f>
        <v/>
      </c>
      <c r="AT833">
        <f>HYPERLINK("http://www.worldcat.org/oclc/2384685","WorldCat Record")</f>
        <v/>
      </c>
      <c r="AU833" t="inlineStr">
        <is>
          <t>477305264:eng</t>
        </is>
      </c>
      <c r="AV833" t="inlineStr">
        <is>
          <t>2384685</t>
        </is>
      </c>
      <c r="AW833" t="inlineStr">
        <is>
          <t>991004106089702656</t>
        </is>
      </c>
      <c r="AX833" t="inlineStr">
        <is>
          <t>991004106089702656</t>
        </is>
      </c>
      <c r="AY833" t="inlineStr">
        <is>
          <t>2256456150002656</t>
        </is>
      </c>
      <c r="AZ833" t="inlineStr">
        <is>
          <t>BOOK</t>
        </is>
      </c>
      <c r="BC833" t="inlineStr">
        <is>
          <t>32285001024826</t>
        </is>
      </c>
      <c r="BD833" t="inlineStr">
        <is>
          <t>893794476</t>
        </is>
      </c>
    </row>
    <row r="834">
      <c r="A834" t="inlineStr">
        <is>
          <t>No</t>
        </is>
      </c>
      <c r="B834" t="inlineStr">
        <is>
          <t>HV6715 .F33 1990</t>
        </is>
      </c>
      <c r="C834" t="inlineStr">
        <is>
          <t>0                      HV 6715000F  33          1990</t>
        </is>
      </c>
      <c r="D834" t="inlineStr">
        <is>
          <t>Card sharps, dream books, &amp; bucket shops : gambling in 19th-century America / Ann Fabian.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Fabian, Ann.</t>
        </is>
      </c>
      <c r="L834" t="inlineStr">
        <is>
          <t>Ithaca : Cornell University Press, 1990.</t>
        </is>
      </c>
      <c r="M834" t="inlineStr">
        <is>
          <t>1990</t>
        </is>
      </c>
      <c r="O834" t="inlineStr">
        <is>
          <t>eng</t>
        </is>
      </c>
      <c r="P834" t="inlineStr">
        <is>
          <t>nyu</t>
        </is>
      </c>
      <c r="R834" t="inlineStr">
        <is>
          <t xml:space="preserve">HV </t>
        </is>
      </c>
      <c r="S834" t="n">
        <v>9</v>
      </c>
      <c r="T834" t="n">
        <v>9</v>
      </c>
      <c r="U834" t="inlineStr">
        <is>
          <t>2005-04-07</t>
        </is>
      </c>
      <c r="V834" t="inlineStr">
        <is>
          <t>2005-04-07</t>
        </is>
      </c>
      <c r="W834" t="inlineStr">
        <is>
          <t>1997-11-18</t>
        </is>
      </c>
      <c r="X834" t="inlineStr">
        <is>
          <t>1997-11-18</t>
        </is>
      </c>
      <c r="Y834" t="n">
        <v>476</v>
      </c>
      <c r="Z834" t="n">
        <v>434</v>
      </c>
      <c r="AA834" t="n">
        <v>435</v>
      </c>
      <c r="AB834" t="n">
        <v>4</v>
      </c>
      <c r="AC834" t="n">
        <v>4</v>
      </c>
      <c r="AD834" t="n">
        <v>24</v>
      </c>
      <c r="AE834" t="n">
        <v>24</v>
      </c>
      <c r="AF834" t="n">
        <v>6</v>
      </c>
      <c r="AG834" t="n">
        <v>6</v>
      </c>
      <c r="AH834" t="n">
        <v>7</v>
      </c>
      <c r="AI834" t="n">
        <v>7</v>
      </c>
      <c r="AJ834" t="n">
        <v>13</v>
      </c>
      <c r="AK834" t="n">
        <v>13</v>
      </c>
      <c r="AL834" t="n">
        <v>3</v>
      </c>
      <c r="AM834" t="n">
        <v>3</v>
      </c>
      <c r="AN834" t="n">
        <v>1</v>
      </c>
      <c r="AO834" t="n">
        <v>1</v>
      </c>
      <c r="AP834" t="inlineStr">
        <is>
          <t>No</t>
        </is>
      </c>
      <c r="AQ834" t="inlineStr">
        <is>
          <t>No</t>
        </is>
      </c>
      <c r="AS834">
        <f>HYPERLINK("https://creighton-primo.hosted.exlibrisgroup.com/primo-explore/search?tab=default_tab&amp;search_scope=EVERYTHING&amp;vid=01CRU&amp;lang=en_US&amp;offset=0&amp;query=any,contains,991001702989702656","Catalog Record")</f>
        <v/>
      </c>
      <c r="AT834">
        <f>HYPERLINK("http://www.worldcat.org/oclc/21525504","WorldCat Record")</f>
        <v/>
      </c>
      <c r="AU834" t="inlineStr">
        <is>
          <t>24138295:eng</t>
        </is>
      </c>
      <c r="AV834" t="inlineStr">
        <is>
          <t>21525504</t>
        </is>
      </c>
      <c r="AW834" t="inlineStr">
        <is>
          <t>991001702989702656</t>
        </is>
      </c>
      <c r="AX834" t="inlineStr">
        <is>
          <t>991001702989702656</t>
        </is>
      </c>
      <c r="AY834" t="inlineStr">
        <is>
          <t>2255918290002656</t>
        </is>
      </c>
      <c r="AZ834" t="inlineStr">
        <is>
          <t>BOOK</t>
        </is>
      </c>
      <c r="BB834" t="inlineStr">
        <is>
          <t>9780801425011</t>
        </is>
      </c>
      <c r="BC834" t="inlineStr">
        <is>
          <t>32285003271367</t>
        </is>
      </c>
      <c r="BD834" t="inlineStr">
        <is>
          <t>893328310</t>
        </is>
      </c>
    </row>
    <row r="835">
      <c r="A835" t="inlineStr">
        <is>
          <t>No</t>
        </is>
      </c>
      <c r="B835" t="inlineStr">
        <is>
          <t>HV6715 .F56 1986</t>
        </is>
      </c>
      <c r="C835" t="inlineStr">
        <is>
          <t>0                      HV 6715000F  56          1986</t>
        </is>
      </c>
      <c r="D835" t="inlineStr">
        <is>
          <t>People of chance : gambling in American society from Jamestown to Las Vegas / John M. Findlay.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Findlay, John M., 1955-</t>
        </is>
      </c>
      <c r="L835" t="inlineStr">
        <is>
          <t>New York : Oxford University Press, 1986.</t>
        </is>
      </c>
      <c r="M835" t="inlineStr">
        <is>
          <t>1986</t>
        </is>
      </c>
      <c r="O835" t="inlineStr">
        <is>
          <t>eng</t>
        </is>
      </c>
      <c r="P835" t="inlineStr">
        <is>
          <t>nyu</t>
        </is>
      </c>
      <c r="R835" t="inlineStr">
        <is>
          <t xml:space="preserve">HV </t>
        </is>
      </c>
      <c r="S835" t="n">
        <v>33</v>
      </c>
      <c r="T835" t="n">
        <v>33</v>
      </c>
      <c r="U835" t="inlineStr">
        <is>
          <t>2007-10-28</t>
        </is>
      </c>
      <c r="V835" t="inlineStr">
        <is>
          <t>2007-10-28</t>
        </is>
      </c>
      <c r="W835" t="inlineStr">
        <is>
          <t>1990-02-22</t>
        </is>
      </c>
      <c r="X835" t="inlineStr">
        <is>
          <t>1990-02-22</t>
        </is>
      </c>
      <c r="Y835" t="n">
        <v>830</v>
      </c>
      <c r="Z835" t="n">
        <v>767</v>
      </c>
      <c r="AA835" t="n">
        <v>785</v>
      </c>
      <c r="AB835" t="n">
        <v>3</v>
      </c>
      <c r="AC835" t="n">
        <v>3</v>
      </c>
      <c r="AD835" t="n">
        <v>25</v>
      </c>
      <c r="AE835" t="n">
        <v>25</v>
      </c>
      <c r="AF835" t="n">
        <v>10</v>
      </c>
      <c r="AG835" t="n">
        <v>10</v>
      </c>
      <c r="AH835" t="n">
        <v>6</v>
      </c>
      <c r="AI835" t="n">
        <v>6</v>
      </c>
      <c r="AJ835" t="n">
        <v>13</v>
      </c>
      <c r="AK835" t="n">
        <v>13</v>
      </c>
      <c r="AL835" t="n">
        <v>1</v>
      </c>
      <c r="AM835" t="n">
        <v>1</v>
      </c>
      <c r="AN835" t="n">
        <v>1</v>
      </c>
      <c r="AO835" t="n">
        <v>1</v>
      </c>
      <c r="AP835" t="inlineStr">
        <is>
          <t>No</t>
        </is>
      </c>
      <c r="AQ835" t="inlineStr">
        <is>
          <t>No</t>
        </is>
      </c>
      <c r="AS835">
        <f>HYPERLINK("https://creighton-primo.hosted.exlibrisgroup.com/primo-explore/search?tab=default_tab&amp;search_scope=EVERYTHING&amp;vid=01CRU&amp;lang=en_US&amp;offset=0&amp;query=any,contains,991000710189702656","Catalog Record")</f>
        <v/>
      </c>
      <c r="AT835">
        <f>HYPERLINK("http://www.worldcat.org/oclc/12582007","WorldCat Record")</f>
        <v/>
      </c>
      <c r="AU835" t="inlineStr">
        <is>
          <t>836668842:eng</t>
        </is>
      </c>
      <c r="AV835" t="inlineStr">
        <is>
          <t>12582007</t>
        </is>
      </c>
      <c r="AW835" t="inlineStr">
        <is>
          <t>991000710189702656</t>
        </is>
      </c>
      <c r="AX835" t="inlineStr">
        <is>
          <t>991000710189702656</t>
        </is>
      </c>
      <c r="AY835" t="inlineStr">
        <is>
          <t>2271935260002656</t>
        </is>
      </c>
      <c r="AZ835" t="inlineStr">
        <is>
          <t>BOOK</t>
        </is>
      </c>
      <c r="BB835" t="inlineStr">
        <is>
          <t>9780195037401</t>
        </is>
      </c>
      <c r="BC835" t="inlineStr">
        <is>
          <t>32285000059013</t>
        </is>
      </c>
      <c r="BD835" t="inlineStr">
        <is>
          <t>893689963</t>
        </is>
      </c>
    </row>
    <row r="836">
      <c r="A836" t="inlineStr">
        <is>
          <t>No</t>
        </is>
      </c>
      <c r="B836" t="inlineStr">
        <is>
          <t>HV6715 .G66 1995</t>
        </is>
      </c>
      <c r="C836" t="inlineStr">
        <is>
          <t>0                      HV 6715000G  66          1995</t>
        </is>
      </c>
      <c r="D836" t="inlineStr">
        <is>
          <t>The luck business : the devastating consequences and broken promises of America's gambling explosion / Robert Goodman.</t>
        </is>
      </c>
      <c r="F836" t="inlineStr">
        <is>
          <t>No</t>
        </is>
      </c>
      <c r="G836" t="inlineStr">
        <is>
          <t>1</t>
        </is>
      </c>
      <c r="H836" t="inlineStr">
        <is>
          <t>Yes</t>
        </is>
      </c>
      <c r="I836" t="inlineStr">
        <is>
          <t>No</t>
        </is>
      </c>
      <c r="J836" t="inlineStr">
        <is>
          <t>0</t>
        </is>
      </c>
      <c r="K836" t="inlineStr">
        <is>
          <t>Goodman, Robert, 1936-</t>
        </is>
      </c>
      <c r="L836" t="inlineStr">
        <is>
          <t>New York : Free Press, c1995.</t>
        </is>
      </c>
      <c r="M836" t="inlineStr">
        <is>
          <t>1995</t>
        </is>
      </c>
      <c r="O836" t="inlineStr">
        <is>
          <t>eng</t>
        </is>
      </c>
      <c r="P836" t="inlineStr">
        <is>
          <t>nyu</t>
        </is>
      </c>
      <c r="R836" t="inlineStr">
        <is>
          <t xml:space="preserve">HV </t>
        </is>
      </c>
      <c r="S836" t="n">
        <v>28</v>
      </c>
      <c r="T836" t="n">
        <v>32</v>
      </c>
      <c r="U836" t="inlineStr">
        <is>
          <t>2009-04-06</t>
        </is>
      </c>
      <c r="V836" t="inlineStr">
        <is>
          <t>2009-04-06</t>
        </is>
      </c>
      <c r="W836" t="inlineStr">
        <is>
          <t>1996-04-28</t>
        </is>
      </c>
      <c r="X836" t="inlineStr">
        <is>
          <t>1996-04-28</t>
        </is>
      </c>
      <c r="Y836" t="n">
        <v>766</v>
      </c>
      <c r="Z836" t="n">
        <v>682</v>
      </c>
      <c r="AA836" t="n">
        <v>728</v>
      </c>
      <c r="AB836" t="n">
        <v>4</v>
      </c>
      <c r="AC836" t="n">
        <v>5</v>
      </c>
      <c r="AD836" t="n">
        <v>24</v>
      </c>
      <c r="AE836" t="n">
        <v>25</v>
      </c>
      <c r="AF836" t="n">
        <v>9</v>
      </c>
      <c r="AG836" t="n">
        <v>9</v>
      </c>
      <c r="AH836" t="n">
        <v>4</v>
      </c>
      <c r="AI836" t="n">
        <v>4</v>
      </c>
      <c r="AJ836" t="n">
        <v>13</v>
      </c>
      <c r="AK836" t="n">
        <v>13</v>
      </c>
      <c r="AL836" t="n">
        <v>2</v>
      </c>
      <c r="AM836" t="n">
        <v>3</v>
      </c>
      <c r="AN836" t="n">
        <v>2</v>
      </c>
      <c r="AO836" t="n">
        <v>2</v>
      </c>
      <c r="AP836" t="inlineStr">
        <is>
          <t>No</t>
        </is>
      </c>
      <c r="AQ836" t="inlineStr">
        <is>
          <t>No</t>
        </is>
      </c>
      <c r="AS836">
        <f>HYPERLINK("https://creighton-primo.hosted.exlibrisgroup.com/primo-explore/search?tab=default_tab&amp;search_scope=EVERYTHING&amp;vid=01CRU&amp;lang=en_US&amp;offset=0&amp;query=any,contains,991001681769702656","Catalog Record")</f>
        <v/>
      </c>
      <c r="AT836">
        <f>HYPERLINK("http://www.worldcat.org/oclc/32467247","WorldCat Record")</f>
        <v/>
      </c>
      <c r="AU836" t="inlineStr">
        <is>
          <t>499732092:eng</t>
        </is>
      </c>
      <c r="AV836" t="inlineStr">
        <is>
          <t>32467247</t>
        </is>
      </c>
      <c r="AW836" t="inlineStr">
        <is>
          <t>991001681769702656</t>
        </is>
      </c>
      <c r="AX836" t="inlineStr">
        <is>
          <t>991001681769702656</t>
        </is>
      </c>
      <c r="AY836" t="inlineStr">
        <is>
          <t>2262877970002656</t>
        </is>
      </c>
      <c r="AZ836" t="inlineStr">
        <is>
          <t>BOOK</t>
        </is>
      </c>
      <c r="BB836" t="inlineStr">
        <is>
          <t>9780029124833</t>
        </is>
      </c>
      <c r="BC836" t="inlineStr">
        <is>
          <t>32285002158227</t>
        </is>
      </c>
      <c r="BD836" t="inlineStr">
        <is>
          <t>893615302</t>
        </is>
      </c>
    </row>
    <row r="837">
      <c r="A837" t="inlineStr">
        <is>
          <t>No</t>
        </is>
      </c>
      <c r="B837" t="inlineStr">
        <is>
          <t>HV6721.N4 S5</t>
        </is>
      </c>
      <c r="C837" t="inlineStr">
        <is>
          <t>0                      HV 6721000N  4                  S  5</t>
        </is>
      </c>
      <c r="D837" t="inlineStr">
        <is>
          <t>I want to quit winners, by Harold S. Smith, Sr., with John Wesley Noble.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K837" t="inlineStr">
        <is>
          <t>Smith, Harold S., 1910-</t>
        </is>
      </c>
      <c r="L837" t="inlineStr">
        <is>
          <t>Englewood Cliffs, N. J., Prentice-Hall [1961]</t>
        </is>
      </c>
      <c r="M837" t="inlineStr">
        <is>
          <t>1961</t>
        </is>
      </c>
      <c r="O837" t="inlineStr">
        <is>
          <t>eng</t>
        </is>
      </c>
      <c r="P837" t="inlineStr">
        <is>
          <t>nju</t>
        </is>
      </c>
      <c r="R837" t="inlineStr">
        <is>
          <t xml:space="preserve">HV </t>
        </is>
      </c>
      <c r="S837" t="n">
        <v>5</v>
      </c>
      <c r="T837" t="n">
        <v>5</v>
      </c>
      <c r="U837" t="inlineStr">
        <is>
          <t>2009-01-22</t>
        </is>
      </c>
      <c r="V837" t="inlineStr">
        <is>
          <t>2009-01-22</t>
        </is>
      </c>
      <c r="W837" t="inlineStr">
        <is>
          <t>1992-03-31</t>
        </is>
      </c>
      <c r="X837" t="inlineStr">
        <is>
          <t>1992-03-31</t>
        </is>
      </c>
      <c r="Y837" t="n">
        <v>329</v>
      </c>
      <c r="Z837" t="n">
        <v>319</v>
      </c>
      <c r="AA837" t="n">
        <v>356</v>
      </c>
      <c r="AB837" t="n">
        <v>4</v>
      </c>
      <c r="AC837" t="n">
        <v>5</v>
      </c>
      <c r="AD837" t="n">
        <v>14</v>
      </c>
      <c r="AE837" t="n">
        <v>15</v>
      </c>
      <c r="AF837" t="n">
        <v>6</v>
      </c>
      <c r="AG837" t="n">
        <v>6</v>
      </c>
      <c r="AH837" t="n">
        <v>1</v>
      </c>
      <c r="AI837" t="n">
        <v>2</v>
      </c>
      <c r="AJ837" t="n">
        <v>8</v>
      </c>
      <c r="AK837" t="n">
        <v>8</v>
      </c>
      <c r="AL837" t="n">
        <v>2</v>
      </c>
      <c r="AM837" t="n">
        <v>2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HYPERLINK("http://catalog.hathitrust.org/Record/001134530","HathiTrust Record")</f>
        <v/>
      </c>
      <c r="AS837">
        <f>HYPERLINK("https://creighton-primo.hosted.exlibrisgroup.com/primo-explore/search?tab=default_tab&amp;search_scope=EVERYTHING&amp;vid=01CRU&amp;lang=en_US&amp;offset=0&amp;query=any,contains,991004232889702656","Catalog Record")</f>
        <v/>
      </c>
      <c r="AT837">
        <f>HYPERLINK("http://www.worldcat.org/oclc/2754757","WorldCat Record")</f>
        <v/>
      </c>
      <c r="AU837" t="inlineStr">
        <is>
          <t>2027942:eng</t>
        </is>
      </c>
      <c r="AV837" t="inlineStr">
        <is>
          <t>2754757</t>
        </is>
      </c>
      <c r="AW837" t="inlineStr">
        <is>
          <t>991004232889702656</t>
        </is>
      </c>
      <c r="AX837" t="inlineStr">
        <is>
          <t>991004232889702656</t>
        </is>
      </c>
      <c r="AY837" t="inlineStr">
        <is>
          <t>2263893170002656</t>
        </is>
      </c>
      <c r="AZ837" t="inlineStr">
        <is>
          <t>BOOK</t>
        </is>
      </c>
      <c r="BC837" t="inlineStr">
        <is>
          <t>32285001050169</t>
        </is>
      </c>
      <c r="BD837" t="inlineStr">
        <is>
          <t>893888456</t>
        </is>
      </c>
    </row>
    <row r="838">
      <c r="A838" t="inlineStr">
        <is>
          <t>No</t>
        </is>
      </c>
      <c r="B838" t="inlineStr">
        <is>
          <t>HV6721.N45 S5</t>
        </is>
      </c>
      <c r="C838" t="inlineStr">
        <is>
          <t>0                      HV 6721000N  45                 S  5</t>
        </is>
      </c>
      <c r="D838" t="inlineStr">
        <is>
          <t>House of cards : the legalization and control of casino gambling / Jerome H. Skolnick.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Skolnick, Jerome H.</t>
        </is>
      </c>
      <c r="L838" t="inlineStr">
        <is>
          <t>Boston : Little, Brown, c1978.</t>
        </is>
      </c>
      <c r="M838" t="inlineStr">
        <is>
          <t>1978</t>
        </is>
      </c>
      <c r="N838" t="inlineStr">
        <is>
          <t>1st ed.</t>
        </is>
      </c>
      <c r="O838" t="inlineStr">
        <is>
          <t>eng</t>
        </is>
      </c>
      <c r="P838" t="inlineStr">
        <is>
          <t>mau</t>
        </is>
      </c>
      <c r="R838" t="inlineStr">
        <is>
          <t xml:space="preserve">HV </t>
        </is>
      </c>
      <c r="S838" t="n">
        <v>33</v>
      </c>
      <c r="T838" t="n">
        <v>33</v>
      </c>
      <c r="U838" t="inlineStr">
        <is>
          <t>2004-10-26</t>
        </is>
      </c>
      <c r="V838" t="inlineStr">
        <is>
          <t>2004-10-26</t>
        </is>
      </c>
      <c r="W838" t="inlineStr">
        <is>
          <t>1990-08-07</t>
        </is>
      </c>
      <c r="X838" t="inlineStr">
        <is>
          <t>1990-08-07</t>
        </is>
      </c>
      <c r="Y838" t="n">
        <v>614</v>
      </c>
      <c r="Z838" t="n">
        <v>566</v>
      </c>
      <c r="AA838" t="n">
        <v>584</v>
      </c>
      <c r="AB838" t="n">
        <v>2</v>
      </c>
      <c r="AC838" t="n">
        <v>2</v>
      </c>
      <c r="AD838" t="n">
        <v>23</v>
      </c>
      <c r="AE838" t="n">
        <v>23</v>
      </c>
      <c r="AF838" t="n">
        <v>6</v>
      </c>
      <c r="AG838" t="n">
        <v>6</v>
      </c>
      <c r="AH838" t="n">
        <v>2</v>
      </c>
      <c r="AI838" t="n">
        <v>2</v>
      </c>
      <c r="AJ838" t="n">
        <v>5</v>
      </c>
      <c r="AK838" t="n">
        <v>5</v>
      </c>
      <c r="AL838" t="n">
        <v>1</v>
      </c>
      <c r="AM838" t="n">
        <v>1</v>
      </c>
      <c r="AN838" t="n">
        <v>11</v>
      </c>
      <c r="AO838" t="n">
        <v>11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HYPERLINK("https://creighton-primo.hosted.exlibrisgroup.com/primo-explore/search?tab=default_tab&amp;search_scope=EVERYTHING&amp;vid=01CRU&amp;lang=en_US&amp;offset=0&amp;query=any,contains,991004564289702656","Catalog Record")</f>
        <v/>
      </c>
      <c r="AT838">
        <f>HYPERLINK("http://www.worldcat.org/oclc/4004124","WorldCat Record")</f>
        <v/>
      </c>
      <c r="AU838" t="inlineStr">
        <is>
          <t>448805:eng</t>
        </is>
      </c>
      <c r="AV838" t="inlineStr">
        <is>
          <t>4004124</t>
        </is>
      </c>
      <c r="AW838" t="inlineStr">
        <is>
          <t>991004564289702656</t>
        </is>
      </c>
      <c r="AX838" t="inlineStr">
        <is>
          <t>991004564289702656</t>
        </is>
      </c>
      <c r="AY838" t="inlineStr">
        <is>
          <t>2265200610002656</t>
        </is>
      </c>
      <c r="AZ838" t="inlineStr">
        <is>
          <t>BOOK</t>
        </is>
      </c>
      <c r="BB838" t="inlineStr">
        <is>
          <t>9780316796996</t>
        </is>
      </c>
      <c r="BC838" t="inlineStr">
        <is>
          <t>32285000268143</t>
        </is>
      </c>
      <c r="BD838" t="inlineStr">
        <is>
          <t>893687872</t>
        </is>
      </c>
    </row>
    <row r="839">
      <c r="A839" t="inlineStr">
        <is>
          <t>No</t>
        </is>
      </c>
      <c r="B839" t="inlineStr">
        <is>
          <t>HV6722.C2 W34 1974</t>
        </is>
      </c>
      <c r="C839" t="inlineStr">
        <is>
          <t>0                      HV 6722000C  2                  W  34          1974</t>
        </is>
      </c>
      <c r="D839" t="inlineStr">
        <is>
          <t>The gamblers / Adrian Waller.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Waller, Adrian.</t>
        </is>
      </c>
      <c r="L839" t="inlineStr">
        <is>
          <t>Toronto : Clarke, Irwin, c1974.</t>
        </is>
      </c>
      <c r="M839" t="inlineStr">
        <is>
          <t>1974</t>
        </is>
      </c>
      <c r="O839" t="inlineStr">
        <is>
          <t>eng</t>
        </is>
      </c>
      <c r="P839" t="inlineStr">
        <is>
          <t>onc</t>
        </is>
      </c>
      <c r="R839" t="inlineStr">
        <is>
          <t xml:space="preserve">HV </t>
        </is>
      </c>
      <c r="S839" t="n">
        <v>4</v>
      </c>
      <c r="T839" t="n">
        <v>4</v>
      </c>
      <c r="U839" t="inlineStr">
        <is>
          <t>2009-01-22</t>
        </is>
      </c>
      <c r="V839" t="inlineStr">
        <is>
          <t>2009-01-22</t>
        </is>
      </c>
      <c r="W839" t="inlineStr">
        <is>
          <t>1992-11-18</t>
        </is>
      </c>
      <c r="X839" t="inlineStr">
        <is>
          <t>1992-11-18</t>
        </is>
      </c>
      <c r="Y839" t="n">
        <v>112</v>
      </c>
      <c r="Z839" t="n">
        <v>70</v>
      </c>
      <c r="AA839" t="n">
        <v>70</v>
      </c>
      <c r="AB839" t="n">
        <v>1</v>
      </c>
      <c r="AC839" t="n">
        <v>1</v>
      </c>
      <c r="AD839" t="n">
        <v>2</v>
      </c>
      <c r="AE839" t="n">
        <v>2</v>
      </c>
      <c r="AF839" t="n">
        <v>1</v>
      </c>
      <c r="AG839" t="n">
        <v>1</v>
      </c>
      <c r="AH839" t="n">
        <v>1</v>
      </c>
      <c r="AI839" t="n">
        <v>1</v>
      </c>
      <c r="AJ839" t="n">
        <v>1</v>
      </c>
      <c r="AK839" t="n">
        <v>1</v>
      </c>
      <c r="AL839" t="n">
        <v>0</v>
      </c>
      <c r="AM839" t="n">
        <v>0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HYPERLINK("https://creighton-primo.hosted.exlibrisgroup.com/primo-explore/search?tab=default_tab&amp;search_scope=EVERYTHING&amp;vid=01CRU&amp;lang=en_US&amp;offset=0&amp;query=any,contains,991003721829702656","Catalog Record")</f>
        <v/>
      </c>
      <c r="AT839">
        <f>HYPERLINK("http://www.worldcat.org/oclc/1366416","WorldCat Record")</f>
        <v/>
      </c>
      <c r="AU839" t="inlineStr">
        <is>
          <t>2275002:eng</t>
        </is>
      </c>
      <c r="AV839" t="inlineStr">
        <is>
          <t>1366416</t>
        </is>
      </c>
      <c r="AW839" t="inlineStr">
        <is>
          <t>991003721829702656</t>
        </is>
      </c>
      <c r="AX839" t="inlineStr">
        <is>
          <t>991003721829702656</t>
        </is>
      </c>
      <c r="AY839" t="inlineStr">
        <is>
          <t>2255127440002656</t>
        </is>
      </c>
      <c r="AZ839" t="inlineStr">
        <is>
          <t>BOOK</t>
        </is>
      </c>
      <c r="BB839" t="inlineStr">
        <is>
          <t>9780772007339</t>
        </is>
      </c>
      <c r="BC839" t="inlineStr">
        <is>
          <t>32285001405876</t>
        </is>
      </c>
      <c r="BD839" t="inlineStr">
        <is>
          <t>893441632</t>
        </is>
      </c>
    </row>
    <row r="840">
      <c r="A840" t="inlineStr">
        <is>
          <t>No</t>
        </is>
      </c>
      <c r="B840" t="inlineStr">
        <is>
          <t>HV6768 .R53 1999</t>
        </is>
      </c>
      <c r="C840" t="inlineStr">
        <is>
          <t>0                      HV 6768000R  53          1999</t>
        </is>
      </c>
      <c r="D840" t="inlineStr">
        <is>
          <t>Transnational criminal organizations, cybercrime, and money laundering : a handbook for law enforcement officers, auditors, and financial investigators / James R. Richards.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Richards, James R., 1960-</t>
        </is>
      </c>
      <c r="L840" t="inlineStr">
        <is>
          <t>Boca Raton, FL : CRC press, c1999.</t>
        </is>
      </c>
      <c r="M840" t="inlineStr">
        <is>
          <t>1999</t>
        </is>
      </c>
      <c r="O840" t="inlineStr">
        <is>
          <t>eng</t>
        </is>
      </c>
      <c r="P840" t="inlineStr">
        <is>
          <t>flu</t>
        </is>
      </c>
      <c r="R840" t="inlineStr">
        <is>
          <t xml:space="preserve">HV </t>
        </is>
      </c>
      <c r="S840" t="n">
        <v>2</v>
      </c>
      <c r="T840" t="n">
        <v>2</v>
      </c>
      <c r="U840" t="inlineStr">
        <is>
          <t>2005-04-14</t>
        </is>
      </c>
      <c r="V840" t="inlineStr">
        <is>
          <t>2005-04-14</t>
        </is>
      </c>
      <c r="W840" t="inlineStr">
        <is>
          <t>2001-11-15</t>
        </is>
      </c>
      <c r="X840" t="inlineStr">
        <is>
          <t>2001-11-15</t>
        </is>
      </c>
      <c r="Y840" t="n">
        <v>311</v>
      </c>
      <c r="Z840" t="n">
        <v>225</v>
      </c>
      <c r="AA840" t="n">
        <v>248</v>
      </c>
      <c r="AB840" t="n">
        <v>3</v>
      </c>
      <c r="AC840" t="n">
        <v>3</v>
      </c>
      <c r="AD840" t="n">
        <v>14</v>
      </c>
      <c r="AE840" t="n">
        <v>15</v>
      </c>
      <c r="AF840" t="n">
        <v>1</v>
      </c>
      <c r="AG840" t="n">
        <v>1</v>
      </c>
      <c r="AH840" t="n">
        <v>0</v>
      </c>
      <c r="AI840" t="n">
        <v>0</v>
      </c>
      <c r="AJ840" t="n">
        <v>6</v>
      </c>
      <c r="AK840" t="n">
        <v>7</v>
      </c>
      <c r="AL840" t="n">
        <v>2</v>
      </c>
      <c r="AM840" t="n">
        <v>2</v>
      </c>
      <c r="AN840" t="n">
        <v>5</v>
      </c>
      <c r="AO840" t="n">
        <v>5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HYPERLINK("https://creighton-primo.hosted.exlibrisgroup.com/primo-explore/search?tab=default_tab&amp;search_scope=EVERYTHING&amp;vid=01CRU&amp;lang=en_US&amp;offset=0&amp;query=any,contains,991003653899702656","Catalog Record")</f>
        <v/>
      </c>
      <c r="AT840">
        <f>HYPERLINK("http://www.worldcat.org/oclc/39195274","WorldCat Record")</f>
        <v/>
      </c>
      <c r="AU840" t="inlineStr">
        <is>
          <t>865285321:eng</t>
        </is>
      </c>
      <c r="AV840" t="inlineStr">
        <is>
          <t>39195274</t>
        </is>
      </c>
      <c r="AW840" t="inlineStr">
        <is>
          <t>991003653899702656</t>
        </is>
      </c>
      <c r="AX840" t="inlineStr">
        <is>
          <t>991003653899702656</t>
        </is>
      </c>
      <c r="AY840" t="inlineStr">
        <is>
          <t>2267279000002656</t>
        </is>
      </c>
      <c r="AZ840" t="inlineStr">
        <is>
          <t>BOOK</t>
        </is>
      </c>
      <c r="BB840" t="inlineStr">
        <is>
          <t>9780849328060</t>
        </is>
      </c>
      <c r="BC840" t="inlineStr">
        <is>
          <t>32285004411723</t>
        </is>
      </c>
      <c r="BD840" t="inlineStr">
        <is>
          <t>893711614</t>
        </is>
      </c>
    </row>
    <row r="841">
      <c r="A841" t="inlineStr">
        <is>
          <t>No</t>
        </is>
      </c>
      <c r="B841" t="inlineStr">
        <is>
          <t>HV6769 .B467 2003</t>
        </is>
      </c>
      <c r="C841" t="inlineStr">
        <is>
          <t>0                      HV 6769000B  467         2003</t>
        </is>
      </c>
      <c r="D841" t="inlineStr">
        <is>
          <t>The number : how the drive for quarterly earnings corrupted Wall Street and corporate America / Alex Berenson.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Yes</t>
        </is>
      </c>
      <c r="J841" t="inlineStr">
        <is>
          <t>0</t>
        </is>
      </c>
      <c r="K841" t="inlineStr">
        <is>
          <t>Berenson, Alex.</t>
        </is>
      </c>
      <c r="L841" t="inlineStr">
        <is>
          <t>New York : Random House, c2003.</t>
        </is>
      </c>
      <c r="M841" t="inlineStr">
        <is>
          <t>2003</t>
        </is>
      </c>
      <c r="N841" t="inlineStr">
        <is>
          <t>1st ed.</t>
        </is>
      </c>
      <c r="O841" t="inlineStr">
        <is>
          <t>eng</t>
        </is>
      </c>
      <c r="P841" t="inlineStr">
        <is>
          <t>nyu</t>
        </is>
      </c>
      <c r="R841" t="inlineStr">
        <is>
          <t xml:space="preserve">HV </t>
        </is>
      </c>
      <c r="S841" t="n">
        <v>1</v>
      </c>
      <c r="T841" t="n">
        <v>1</v>
      </c>
      <c r="U841" t="inlineStr">
        <is>
          <t>2003-07-17</t>
        </is>
      </c>
      <c r="V841" t="inlineStr">
        <is>
          <t>2003-07-17</t>
        </is>
      </c>
      <c r="W841" t="inlineStr">
        <is>
          <t>2003-07-17</t>
        </is>
      </c>
      <c r="X841" t="inlineStr">
        <is>
          <t>2003-07-17</t>
        </is>
      </c>
      <c r="Y841" t="n">
        <v>990</v>
      </c>
      <c r="Z841" t="n">
        <v>935</v>
      </c>
      <c r="AA841" t="n">
        <v>1087</v>
      </c>
      <c r="AB841" t="n">
        <v>8</v>
      </c>
      <c r="AC841" t="n">
        <v>11</v>
      </c>
      <c r="AD841" t="n">
        <v>38</v>
      </c>
      <c r="AE841" t="n">
        <v>43</v>
      </c>
      <c r="AF841" t="n">
        <v>13</v>
      </c>
      <c r="AG841" t="n">
        <v>14</v>
      </c>
      <c r="AH841" t="n">
        <v>7</v>
      </c>
      <c r="AI841" t="n">
        <v>8</v>
      </c>
      <c r="AJ841" t="n">
        <v>16</v>
      </c>
      <c r="AK841" t="n">
        <v>17</v>
      </c>
      <c r="AL841" t="n">
        <v>7</v>
      </c>
      <c r="AM841" t="n">
        <v>9</v>
      </c>
      <c r="AN841" t="n">
        <v>4</v>
      </c>
      <c r="AO841" t="n">
        <v>4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HYPERLINK("http://catalog.hathitrust.org/Record/004314679","HathiTrust Record")</f>
        <v/>
      </c>
      <c r="AS841">
        <f>HYPERLINK("https://creighton-primo.hosted.exlibrisgroup.com/primo-explore/search?tab=default_tab&amp;search_scope=EVERYTHING&amp;vid=01CRU&amp;lang=en_US&amp;offset=0&amp;query=any,contains,991004077779702656","Catalog Record")</f>
        <v/>
      </c>
      <c r="AT841">
        <f>HYPERLINK("http://www.worldcat.org/oclc/51022970","WorldCat Record")</f>
        <v/>
      </c>
      <c r="AU841" t="inlineStr">
        <is>
          <t>706414:eng</t>
        </is>
      </c>
      <c r="AV841" t="inlineStr">
        <is>
          <t>51022970</t>
        </is>
      </c>
      <c r="AW841" t="inlineStr">
        <is>
          <t>991004077779702656</t>
        </is>
      </c>
      <c r="AX841" t="inlineStr">
        <is>
          <t>991004077779702656</t>
        </is>
      </c>
      <c r="AY841" t="inlineStr">
        <is>
          <t>2266408690002656</t>
        </is>
      </c>
      <c r="AZ841" t="inlineStr">
        <is>
          <t>BOOK</t>
        </is>
      </c>
      <c r="BB841" t="inlineStr">
        <is>
          <t>9780375508806</t>
        </is>
      </c>
      <c r="BC841" t="inlineStr">
        <is>
          <t>32285004756051</t>
        </is>
      </c>
      <c r="BD841" t="inlineStr">
        <is>
          <t>893512791</t>
        </is>
      </c>
    </row>
    <row r="842">
      <c r="A842" t="inlineStr">
        <is>
          <t>No</t>
        </is>
      </c>
      <c r="B842" t="inlineStr">
        <is>
          <t>HV6769 .B467 2004</t>
        </is>
      </c>
      <c r="C842" t="inlineStr">
        <is>
          <t>0                      HV 6769000B  467         2004</t>
        </is>
      </c>
      <c r="D842" t="inlineStr">
        <is>
          <t>The number : how the drive for quarterly earnings corrupted Wall Street and corporate America / Alex Berenson.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Yes</t>
        </is>
      </c>
      <c r="J842" t="inlineStr">
        <is>
          <t>0</t>
        </is>
      </c>
      <c r="K842" t="inlineStr">
        <is>
          <t>Berenson, Alex.</t>
        </is>
      </c>
      <c r="L842" t="inlineStr">
        <is>
          <t>New York : Random House, 2004.</t>
        </is>
      </c>
      <c r="M842" t="inlineStr">
        <is>
          <t>2004</t>
        </is>
      </c>
      <c r="N842" t="inlineStr">
        <is>
          <t>Random House trade pbk. ed.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HV </t>
        </is>
      </c>
      <c r="S842" t="n">
        <v>1</v>
      </c>
      <c r="T842" t="n">
        <v>1</v>
      </c>
      <c r="U842" t="inlineStr">
        <is>
          <t>2010-05-24</t>
        </is>
      </c>
      <c r="V842" t="inlineStr">
        <is>
          <t>2010-05-24</t>
        </is>
      </c>
      <c r="W842" t="inlineStr">
        <is>
          <t>2010-05-24</t>
        </is>
      </c>
      <c r="X842" t="inlineStr">
        <is>
          <t>2010-05-24</t>
        </is>
      </c>
      <c r="Y842" t="n">
        <v>147</v>
      </c>
      <c r="Z842" t="n">
        <v>133</v>
      </c>
      <c r="AA842" t="n">
        <v>1087</v>
      </c>
      <c r="AB842" t="n">
        <v>3</v>
      </c>
      <c r="AC842" t="n">
        <v>11</v>
      </c>
      <c r="AD842" t="n">
        <v>4</v>
      </c>
      <c r="AE842" t="n">
        <v>43</v>
      </c>
      <c r="AF842" t="n">
        <v>1</v>
      </c>
      <c r="AG842" t="n">
        <v>14</v>
      </c>
      <c r="AH842" t="n">
        <v>1</v>
      </c>
      <c r="AI842" t="n">
        <v>8</v>
      </c>
      <c r="AJ842" t="n">
        <v>1</v>
      </c>
      <c r="AK842" t="n">
        <v>17</v>
      </c>
      <c r="AL842" t="n">
        <v>1</v>
      </c>
      <c r="AM842" t="n">
        <v>9</v>
      </c>
      <c r="AN842" t="n">
        <v>0</v>
      </c>
      <c r="AO842" t="n">
        <v>4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HYPERLINK("https://creighton-primo.hosted.exlibrisgroup.com/primo-explore/search?tab=default_tab&amp;search_scope=EVERYTHING&amp;vid=01CRU&amp;lang=en_US&amp;offset=0&amp;query=any,contains,991005394339702656","Catalog Record")</f>
        <v/>
      </c>
      <c r="AT842">
        <f>HYPERLINK("http://www.worldcat.org/oclc/54960073","WorldCat Record")</f>
        <v/>
      </c>
      <c r="AU842" t="inlineStr">
        <is>
          <t>706414:eng</t>
        </is>
      </c>
      <c r="AV842" t="inlineStr">
        <is>
          <t>54960073</t>
        </is>
      </c>
      <c r="AW842" t="inlineStr">
        <is>
          <t>991005394339702656</t>
        </is>
      </c>
      <c r="AX842" t="inlineStr">
        <is>
          <t>991005394339702656</t>
        </is>
      </c>
      <c r="AY842" t="inlineStr">
        <is>
          <t>2263680990002656</t>
        </is>
      </c>
      <c r="AZ842" t="inlineStr">
        <is>
          <t>BOOK</t>
        </is>
      </c>
      <c r="BB842" t="inlineStr">
        <is>
          <t>9780812966251</t>
        </is>
      </c>
      <c r="BC842" t="inlineStr">
        <is>
          <t>32285005584940</t>
        </is>
      </c>
      <c r="BD842" t="inlineStr">
        <is>
          <t>893689135</t>
        </is>
      </c>
    </row>
    <row r="843">
      <c r="A843" t="inlineStr">
        <is>
          <t>No</t>
        </is>
      </c>
      <c r="B843" t="inlineStr">
        <is>
          <t>HV6769 .C558 1990</t>
        </is>
      </c>
      <c r="C843" t="inlineStr">
        <is>
          <t>0                      HV 6769000C  558         1990</t>
        </is>
      </c>
      <c r="D843" t="inlineStr">
        <is>
          <t>Corporate corruption : the abuse of power / Marshall B. Clinard.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Clinard, Marshall B., 1911-2010.</t>
        </is>
      </c>
      <c r="L843" t="inlineStr">
        <is>
          <t>New York : Praeger, 1990.</t>
        </is>
      </c>
      <c r="M843" t="inlineStr">
        <is>
          <t>1990</t>
        </is>
      </c>
      <c r="O843" t="inlineStr">
        <is>
          <t>eng</t>
        </is>
      </c>
      <c r="P843" t="inlineStr">
        <is>
          <t>nyu</t>
        </is>
      </c>
      <c r="R843" t="inlineStr">
        <is>
          <t xml:space="preserve">HV </t>
        </is>
      </c>
      <c r="S843" t="n">
        <v>5</v>
      </c>
      <c r="T843" t="n">
        <v>5</v>
      </c>
      <c r="U843" t="inlineStr">
        <is>
          <t>2007-02-06</t>
        </is>
      </c>
      <c r="V843" t="inlineStr">
        <is>
          <t>2007-02-06</t>
        </is>
      </c>
      <c r="W843" t="inlineStr">
        <is>
          <t>1991-03-14</t>
        </is>
      </c>
      <c r="X843" t="inlineStr">
        <is>
          <t>1991-03-14</t>
        </is>
      </c>
      <c r="Y843" t="n">
        <v>709</v>
      </c>
      <c r="Z843" t="n">
        <v>616</v>
      </c>
      <c r="AA843" t="n">
        <v>627</v>
      </c>
      <c r="AB843" t="n">
        <v>6</v>
      </c>
      <c r="AC843" t="n">
        <v>6</v>
      </c>
      <c r="AD843" t="n">
        <v>29</v>
      </c>
      <c r="AE843" t="n">
        <v>30</v>
      </c>
      <c r="AF843" t="n">
        <v>8</v>
      </c>
      <c r="AG843" t="n">
        <v>9</v>
      </c>
      <c r="AH843" t="n">
        <v>5</v>
      </c>
      <c r="AI843" t="n">
        <v>6</v>
      </c>
      <c r="AJ843" t="n">
        <v>9</v>
      </c>
      <c r="AK843" t="n">
        <v>9</v>
      </c>
      <c r="AL843" t="n">
        <v>4</v>
      </c>
      <c r="AM843" t="n">
        <v>4</v>
      </c>
      <c r="AN843" t="n">
        <v>6</v>
      </c>
      <c r="AO843" t="n">
        <v>6</v>
      </c>
      <c r="AP843" t="inlineStr">
        <is>
          <t>No</t>
        </is>
      </c>
      <c r="AQ843" t="inlineStr">
        <is>
          <t>No</t>
        </is>
      </c>
      <c r="AS843">
        <f>HYPERLINK("https://creighton-primo.hosted.exlibrisgroup.com/primo-explore/search?tab=default_tab&amp;search_scope=EVERYTHING&amp;vid=01CRU&amp;lang=en_US&amp;offset=0&amp;query=any,contains,991001573709702656","Catalog Record")</f>
        <v/>
      </c>
      <c r="AT843">
        <f>HYPERLINK("http://www.worldcat.org/oclc/20418391","WorldCat Record")</f>
        <v/>
      </c>
      <c r="AU843" t="inlineStr">
        <is>
          <t>284905250:eng</t>
        </is>
      </c>
      <c r="AV843" t="inlineStr">
        <is>
          <t>20418391</t>
        </is>
      </c>
      <c r="AW843" t="inlineStr">
        <is>
          <t>991001573709702656</t>
        </is>
      </c>
      <c r="AX843" t="inlineStr">
        <is>
          <t>991001573709702656</t>
        </is>
      </c>
      <c r="AY843" t="inlineStr">
        <is>
          <t>2263759980002656</t>
        </is>
      </c>
      <c r="AZ843" t="inlineStr">
        <is>
          <t>BOOK</t>
        </is>
      </c>
      <c r="BB843" t="inlineStr">
        <is>
          <t>9780275934859</t>
        </is>
      </c>
      <c r="BC843" t="inlineStr">
        <is>
          <t>32285000511831</t>
        </is>
      </c>
      <c r="BD843" t="inlineStr">
        <is>
          <t>893322049</t>
        </is>
      </c>
    </row>
    <row r="844">
      <c r="A844" t="inlineStr">
        <is>
          <t>No</t>
        </is>
      </c>
      <c r="B844" t="inlineStr">
        <is>
          <t>HV6769 .C562 1983</t>
        </is>
      </c>
      <c r="C844" t="inlineStr">
        <is>
          <t>0                      HV 6769000C  562         1983</t>
        </is>
      </c>
      <c r="D844" t="inlineStr">
        <is>
          <t>Corporate ethics and crime : the role of middle management / Marshall B. Clinard.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Clinard, Marshall B., 1911-2010.</t>
        </is>
      </c>
      <c r="L844" t="inlineStr">
        <is>
          <t>Beverly Hills : Sage Publications, c1983.</t>
        </is>
      </c>
      <c r="M844" t="inlineStr">
        <is>
          <t>1983</t>
        </is>
      </c>
      <c r="O844" t="inlineStr">
        <is>
          <t>eng</t>
        </is>
      </c>
      <c r="P844" t="inlineStr">
        <is>
          <t>cau</t>
        </is>
      </c>
      <c r="R844" t="inlineStr">
        <is>
          <t xml:space="preserve">HV </t>
        </is>
      </c>
      <c r="S844" t="n">
        <v>4</v>
      </c>
      <c r="T844" t="n">
        <v>4</v>
      </c>
      <c r="U844" t="inlineStr">
        <is>
          <t>1994-02-23</t>
        </is>
      </c>
      <c r="V844" t="inlineStr">
        <is>
          <t>1994-02-23</t>
        </is>
      </c>
      <c r="W844" t="inlineStr">
        <is>
          <t>1992-04-09</t>
        </is>
      </c>
      <c r="X844" t="inlineStr">
        <is>
          <t>1992-04-09</t>
        </is>
      </c>
      <c r="Y844" t="n">
        <v>741</v>
      </c>
      <c r="Z844" t="n">
        <v>614</v>
      </c>
      <c r="AA844" t="n">
        <v>615</v>
      </c>
      <c r="AB844" t="n">
        <v>8</v>
      </c>
      <c r="AC844" t="n">
        <v>8</v>
      </c>
      <c r="AD844" t="n">
        <v>45</v>
      </c>
      <c r="AE844" t="n">
        <v>45</v>
      </c>
      <c r="AF844" t="n">
        <v>14</v>
      </c>
      <c r="AG844" t="n">
        <v>14</v>
      </c>
      <c r="AH844" t="n">
        <v>7</v>
      </c>
      <c r="AI844" t="n">
        <v>7</v>
      </c>
      <c r="AJ844" t="n">
        <v>19</v>
      </c>
      <c r="AK844" t="n">
        <v>19</v>
      </c>
      <c r="AL844" t="n">
        <v>6</v>
      </c>
      <c r="AM844" t="n">
        <v>6</v>
      </c>
      <c r="AN844" t="n">
        <v>9</v>
      </c>
      <c r="AO844" t="n">
        <v>9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HYPERLINK("https://creighton-primo.hosted.exlibrisgroup.com/primo-explore/search?tab=default_tab&amp;search_scope=EVERYTHING&amp;vid=01CRU&amp;lang=en_US&amp;offset=0&amp;query=any,contains,991000154509702656","Catalog Record")</f>
        <v/>
      </c>
      <c r="AT844">
        <f>HYPERLINK("http://www.worldcat.org/oclc/9219516","WorldCat Record")</f>
        <v/>
      </c>
      <c r="AU844" t="inlineStr">
        <is>
          <t>347674605:eng</t>
        </is>
      </c>
      <c r="AV844" t="inlineStr">
        <is>
          <t>9219516</t>
        </is>
      </c>
      <c r="AW844" t="inlineStr">
        <is>
          <t>991000154509702656</t>
        </is>
      </c>
      <c r="AX844" t="inlineStr">
        <is>
          <t>991000154509702656</t>
        </is>
      </c>
      <c r="AY844" t="inlineStr">
        <is>
          <t>2268833590002656</t>
        </is>
      </c>
      <c r="AZ844" t="inlineStr">
        <is>
          <t>BOOK</t>
        </is>
      </c>
      <c r="BB844" t="inlineStr">
        <is>
          <t>9780803919723</t>
        </is>
      </c>
      <c r="BC844" t="inlineStr">
        <is>
          <t>32285001066454</t>
        </is>
      </c>
      <c r="BD844" t="inlineStr">
        <is>
          <t>893431747</t>
        </is>
      </c>
    </row>
    <row r="845">
      <c r="A845" t="inlineStr">
        <is>
          <t>No</t>
        </is>
      </c>
      <c r="B845" t="inlineStr">
        <is>
          <t>HV6769 .C67</t>
        </is>
      </c>
      <c r="C845" t="inlineStr">
        <is>
          <t>0                      HV 6769000C  67</t>
        </is>
      </c>
      <c r="D845" t="inlineStr">
        <is>
          <t>Corruption in business / edited by Lester A. Sobel ; contributing editors, Mary Elizabeth Clifford ... [et al.] ; indexer, Grace M. Ferrara.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L845" t="inlineStr">
        <is>
          <t>New York : Facts on File, inc., c1977.</t>
        </is>
      </c>
      <c r="M845" t="inlineStr">
        <is>
          <t>1977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HV </t>
        </is>
      </c>
      <c r="S845" t="n">
        <v>4</v>
      </c>
      <c r="T845" t="n">
        <v>4</v>
      </c>
      <c r="U845" t="inlineStr">
        <is>
          <t>2009-09-26</t>
        </is>
      </c>
      <c r="V845" t="inlineStr">
        <is>
          <t>2009-09-26</t>
        </is>
      </c>
      <c r="W845" t="inlineStr">
        <is>
          <t>1992-04-11</t>
        </is>
      </c>
      <c r="X845" t="inlineStr">
        <is>
          <t>1992-04-11</t>
        </is>
      </c>
      <c r="Y845" t="n">
        <v>375</v>
      </c>
      <c r="Z845" t="n">
        <v>340</v>
      </c>
      <c r="AA845" t="n">
        <v>348</v>
      </c>
      <c r="AB845" t="n">
        <v>5</v>
      </c>
      <c r="AC845" t="n">
        <v>5</v>
      </c>
      <c r="AD845" t="n">
        <v>16</v>
      </c>
      <c r="AE845" t="n">
        <v>17</v>
      </c>
      <c r="AF845" t="n">
        <v>4</v>
      </c>
      <c r="AG845" t="n">
        <v>4</v>
      </c>
      <c r="AH845" t="n">
        <v>4</v>
      </c>
      <c r="AI845" t="n">
        <v>4</v>
      </c>
      <c r="AJ845" t="n">
        <v>5</v>
      </c>
      <c r="AK845" t="n">
        <v>6</v>
      </c>
      <c r="AL845" t="n">
        <v>4</v>
      </c>
      <c r="AM845" t="n">
        <v>4</v>
      </c>
      <c r="AN845" t="n">
        <v>3</v>
      </c>
      <c r="AO845" t="n">
        <v>3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HYPERLINK("https://creighton-primo.hosted.exlibrisgroup.com/primo-explore/search?tab=default_tab&amp;search_scope=EVERYTHING&amp;vid=01CRU&amp;lang=en_US&amp;offset=0&amp;query=any,contains,991004262349702656","Catalog Record")</f>
        <v/>
      </c>
      <c r="AT845">
        <f>HYPERLINK("http://www.worldcat.org/oclc/2850321","WorldCat Record")</f>
        <v/>
      </c>
      <c r="AU845" t="inlineStr">
        <is>
          <t>54164561:eng</t>
        </is>
      </c>
      <c r="AV845" t="inlineStr">
        <is>
          <t>2850321</t>
        </is>
      </c>
      <c r="AW845" t="inlineStr">
        <is>
          <t>991004262349702656</t>
        </is>
      </c>
      <c r="AX845" t="inlineStr">
        <is>
          <t>991004262349702656</t>
        </is>
      </c>
      <c r="AY845" t="inlineStr">
        <is>
          <t>2268491080002656</t>
        </is>
      </c>
      <c r="AZ845" t="inlineStr">
        <is>
          <t>BOOK</t>
        </is>
      </c>
      <c r="BB845" t="inlineStr">
        <is>
          <t>9780871962928</t>
        </is>
      </c>
      <c r="BC845" t="inlineStr">
        <is>
          <t>32285001057644</t>
        </is>
      </c>
      <c r="BD845" t="inlineStr">
        <is>
          <t>893253474</t>
        </is>
      </c>
    </row>
    <row r="846">
      <c r="A846" t="inlineStr">
        <is>
          <t>No</t>
        </is>
      </c>
      <c r="B846" t="inlineStr">
        <is>
          <t>HV6769 .D38 2000</t>
        </is>
      </c>
      <c r="C846" t="inlineStr">
        <is>
          <t>0                      HV 6769000D  38          2000</t>
        </is>
      </c>
      <c r="D846" t="inlineStr">
        <is>
          <t>Fraud 101 : techniques and strategies for detection / Howard R. Davia.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Davia, Howard R., 1947-</t>
        </is>
      </c>
      <c r="L846" t="inlineStr">
        <is>
          <t>New York : John Wiley, c2000.</t>
        </is>
      </c>
      <c r="M846" t="inlineStr">
        <is>
          <t>2000</t>
        </is>
      </c>
      <c r="O846" t="inlineStr">
        <is>
          <t>eng</t>
        </is>
      </c>
      <c r="P846" t="inlineStr">
        <is>
          <t>nyu</t>
        </is>
      </c>
      <c r="R846" t="inlineStr">
        <is>
          <t xml:space="preserve">HV </t>
        </is>
      </c>
      <c r="S846" t="n">
        <v>3</v>
      </c>
      <c r="T846" t="n">
        <v>3</v>
      </c>
      <c r="U846" t="inlineStr">
        <is>
          <t>2002-03-22</t>
        </is>
      </c>
      <c r="V846" t="inlineStr">
        <is>
          <t>2002-03-22</t>
        </is>
      </c>
      <c r="W846" t="inlineStr">
        <is>
          <t>2002-02-05</t>
        </is>
      </c>
      <c r="X846" t="inlineStr">
        <is>
          <t>2002-02-05</t>
        </is>
      </c>
      <c r="Y846" t="n">
        <v>269</v>
      </c>
      <c r="Z846" t="n">
        <v>209</v>
      </c>
      <c r="AA846" t="n">
        <v>230</v>
      </c>
      <c r="AB846" t="n">
        <v>1</v>
      </c>
      <c r="AC846" t="n">
        <v>1</v>
      </c>
      <c r="AD846" t="n">
        <v>6</v>
      </c>
      <c r="AE846" t="n">
        <v>6</v>
      </c>
      <c r="AF846" t="n">
        <v>3</v>
      </c>
      <c r="AG846" t="n">
        <v>3</v>
      </c>
      <c r="AH846" t="n">
        <v>1</v>
      </c>
      <c r="AI846" t="n">
        <v>1</v>
      </c>
      <c r="AJ846" t="n">
        <v>6</v>
      </c>
      <c r="AK846" t="n">
        <v>6</v>
      </c>
      <c r="AL846" t="n">
        <v>0</v>
      </c>
      <c r="AM846" t="n">
        <v>0</v>
      </c>
      <c r="AN846" t="n">
        <v>0</v>
      </c>
      <c r="AO846" t="n">
        <v>0</v>
      </c>
      <c r="AP846" t="inlineStr">
        <is>
          <t>No</t>
        </is>
      </c>
      <c r="AQ846" t="inlineStr">
        <is>
          <t>Yes</t>
        </is>
      </c>
      <c r="AR846">
        <f>HYPERLINK("http://catalog.hathitrust.org/Record/009807699","HathiTrust Record")</f>
        <v/>
      </c>
      <c r="AS846">
        <f>HYPERLINK("https://creighton-primo.hosted.exlibrisgroup.com/primo-explore/search?tab=default_tab&amp;search_scope=EVERYTHING&amp;vid=01CRU&amp;lang=en_US&amp;offset=0&amp;query=any,contains,991003704279702656","Catalog Record")</f>
        <v/>
      </c>
      <c r="AT846">
        <f>HYPERLINK("http://www.worldcat.org/oclc/43798508","WorldCat Record")</f>
        <v/>
      </c>
      <c r="AU846" t="inlineStr">
        <is>
          <t>3373945104:eng</t>
        </is>
      </c>
      <c r="AV846" t="inlineStr">
        <is>
          <t>43798508</t>
        </is>
      </c>
      <c r="AW846" t="inlineStr">
        <is>
          <t>991003704279702656</t>
        </is>
      </c>
      <c r="AX846" t="inlineStr">
        <is>
          <t>991003704279702656</t>
        </is>
      </c>
      <c r="AY846" t="inlineStr">
        <is>
          <t>2259425160002656</t>
        </is>
      </c>
      <c r="AZ846" t="inlineStr">
        <is>
          <t>BOOK</t>
        </is>
      </c>
      <c r="BB846" t="inlineStr">
        <is>
          <t>9780471373094</t>
        </is>
      </c>
      <c r="BC846" t="inlineStr">
        <is>
          <t>32285004452529</t>
        </is>
      </c>
      <c r="BD846" t="inlineStr">
        <is>
          <t>893342907</t>
        </is>
      </c>
    </row>
    <row r="847">
      <c r="A847" t="inlineStr">
        <is>
          <t>No</t>
        </is>
      </c>
      <c r="B847" t="inlineStr">
        <is>
          <t>HV6769 .G73 2005</t>
        </is>
      </c>
      <c r="C847" t="inlineStr">
        <is>
          <t>0                      HV 6769000G  73          2005</t>
        </is>
      </c>
      <c r="D847" t="inlineStr">
        <is>
          <t>Corporate scandals : the many faces of greed : the great heist, financial bubbles and the absence of virtue / Kenneth R. Gray, Larry A. Frieder, George W. Clark, Jr.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Gray, Kenneth R., 1952-</t>
        </is>
      </c>
      <c r="L847" t="inlineStr">
        <is>
          <t>St. Paul, MN : Paragon House, 2005.</t>
        </is>
      </c>
      <c r="M847" t="inlineStr">
        <is>
          <t>2005</t>
        </is>
      </c>
      <c r="N847" t="inlineStr">
        <is>
          <t>1st ed.</t>
        </is>
      </c>
      <c r="O847" t="inlineStr">
        <is>
          <t>eng</t>
        </is>
      </c>
      <c r="P847" t="inlineStr">
        <is>
          <t>mnu</t>
        </is>
      </c>
      <c r="R847" t="inlineStr">
        <is>
          <t xml:space="preserve">HV </t>
        </is>
      </c>
      <c r="S847" t="n">
        <v>6</v>
      </c>
      <c r="T847" t="n">
        <v>6</v>
      </c>
      <c r="U847" t="inlineStr">
        <is>
          <t>2010-12-01</t>
        </is>
      </c>
      <c r="V847" t="inlineStr">
        <is>
          <t>2010-12-01</t>
        </is>
      </c>
      <c r="W847" t="inlineStr">
        <is>
          <t>2005-10-27</t>
        </is>
      </c>
      <c r="X847" t="inlineStr">
        <is>
          <t>2005-10-27</t>
        </is>
      </c>
      <c r="Y847" t="n">
        <v>370</v>
      </c>
      <c r="Z847" t="n">
        <v>323</v>
      </c>
      <c r="AA847" t="n">
        <v>333</v>
      </c>
      <c r="AB847" t="n">
        <v>4</v>
      </c>
      <c r="AC847" t="n">
        <v>4</v>
      </c>
      <c r="AD847" t="n">
        <v>19</v>
      </c>
      <c r="AE847" t="n">
        <v>19</v>
      </c>
      <c r="AF847" t="n">
        <v>5</v>
      </c>
      <c r="AG847" t="n">
        <v>5</v>
      </c>
      <c r="AH847" t="n">
        <v>5</v>
      </c>
      <c r="AI847" t="n">
        <v>5</v>
      </c>
      <c r="AJ847" t="n">
        <v>7</v>
      </c>
      <c r="AK847" t="n">
        <v>7</v>
      </c>
      <c r="AL847" t="n">
        <v>3</v>
      </c>
      <c r="AM847" t="n">
        <v>3</v>
      </c>
      <c r="AN847" t="n">
        <v>3</v>
      </c>
      <c r="AO847" t="n">
        <v>3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HYPERLINK("http://catalog.hathitrust.org/Record/004983136","HathiTrust Record")</f>
        <v/>
      </c>
      <c r="AS847">
        <f>HYPERLINK("https://creighton-primo.hosted.exlibrisgroup.com/primo-explore/search?tab=default_tab&amp;search_scope=EVERYTHING&amp;vid=01CRU&amp;lang=en_US&amp;offset=0&amp;query=any,contains,991004657069702656","Catalog Record")</f>
        <v/>
      </c>
      <c r="AT847">
        <f>HYPERLINK("http://www.worldcat.org/oclc/55801003","WorldCat Record")</f>
        <v/>
      </c>
      <c r="AU847" t="inlineStr">
        <is>
          <t>223528982:eng</t>
        </is>
      </c>
      <c r="AV847" t="inlineStr">
        <is>
          <t>55801003</t>
        </is>
      </c>
      <c r="AW847" t="inlineStr">
        <is>
          <t>991004657069702656</t>
        </is>
      </c>
      <c r="AX847" t="inlineStr">
        <is>
          <t>991004657069702656</t>
        </is>
      </c>
      <c r="AY847" t="inlineStr">
        <is>
          <t>2270329840002656</t>
        </is>
      </c>
      <c r="AZ847" t="inlineStr">
        <is>
          <t>BOOK</t>
        </is>
      </c>
      <c r="BB847" t="inlineStr">
        <is>
          <t>9781557788382</t>
        </is>
      </c>
      <c r="BC847" t="inlineStr">
        <is>
          <t>32285005142665</t>
        </is>
      </c>
      <c r="BD847" t="inlineStr">
        <is>
          <t>893519904</t>
        </is>
      </c>
    </row>
    <row r="848">
      <c r="A848" t="inlineStr">
        <is>
          <t>No</t>
        </is>
      </c>
      <c r="B848" t="inlineStr">
        <is>
          <t>HV6769 .H84 2003</t>
        </is>
      </c>
      <c r="C848" t="inlineStr">
        <is>
          <t>0                      HV 6769000H  84          2003</t>
        </is>
      </c>
      <c r="D848" t="inlineStr">
        <is>
          <t>Pigs at the trough : how corporate greed and political corruption are undermining America / Arianna Huffington.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Huffington, Arianna Stassinopoulos, 1950-</t>
        </is>
      </c>
      <c r="L848" t="inlineStr">
        <is>
          <t>New York : Crown publishers, c2003.</t>
        </is>
      </c>
      <c r="M848" t="inlineStr">
        <is>
          <t>2003</t>
        </is>
      </c>
      <c r="N848" t="inlineStr">
        <is>
          <t>1st ed.</t>
        </is>
      </c>
      <c r="O848" t="inlineStr">
        <is>
          <t>eng</t>
        </is>
      </c>
      <c r="P848" t="inlineStr">
        <is>
          <t>nyu</t>
        </is>
      </c>
      <c r="R848" t="inlineStr">
        <is>
          <t xml:space="preserve">HV </t>
        </is>
      </c>
      <c r="S848" t="n">
        <v>4</v>
      </c>
      <c r="T848" t="n">
        <v>4</v>
      </c>
      <c r="U848" t="inlineStr">
        <is>
          <t>2009-09-26</t>
        </is>
      </c>
      <c r="V848" t="inlineStr">
        <is>
          <t>2009-09-26</t>
        </is>
      </c>
      <c r="W848" t="inlineStr">
        <is>
          <t>2003-04-01</t>
        </is>
      </c>
      <c r="X848" t="inlineStr">
        <is>
          <t>2003-04-01</t>
        </is>
      </c>
      <c r="Y848" t="n">
        <v>1563</v>
      </c>
      <c r="Z848" t="n">
        <v>1499</v>
      </c>
      <c r="AA848" t="n">
        <v>1651</v>
      </c>
      <c r="AB848" t="n">
        <v>15</v>
      </c>
      <c r="AC848" t="n">
        <v>17</v>
      </c>
      <c r="AD848" t="n">
        <v>41</v>
      </c>
      <c r="AE848" t="n">
        <v>44</v>
      </c>
      <c r="AF848" t="n">
        <v>11</v>
      </c>
      <c r="AG848" t="n">
        <v>13</v>
      </c>
      <c r="AH848" t="n">
        <v>6</v>
      </c>
      <c r="AI848" t="n">
        <v>6</v>
      </c>
      <c r="AJ848" t="n">
        <v>18</v>
      </c>
      <c r="AK848" t="n">
        <v>19</v>
      </c>
      <c r="AL848" t="n">
        <v>9</v>
      </c>
      <c r="AM848" t="n">
        <v>10</v>
      </c>
      <c r="AN848" t="n">
        <v>4</v>
      </c>
      <c r="AO848" t="n">
        <v>4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HYPERLINK("http://catalog.hathitrust.org/Record/004310104","HathiTrust Record")</f>
        <v/>
      </c>
      <c r="AS848">
        <f>HYPERLINK("https://creighton-primo.hosted.exlibrisgroup.com/primo-explore/search?tab=default_tab&amp;search_scope=EVERYTHING&amp;vid=01CRU&amp;lang=en_US&amp;offset=0&amp;query=any,contains,991004003079702656","Catalog Record")</f>
        <v/>
      </c>
      <c r="AT848">
        <f>HYPERLINK("http://www.worldcat.org/oclc/51450511","WorldCat Record")</f>
        <v/>
      </c>
      <c r="AU848" t="inlineStr">
        <is>
          <t>865278914:eng</t>
        </is>
      </c>
      <c r="AV848" t="inlineStr">
        <is>
          <t>51450511</t>
        </is>
      </c>
      <c r="AW848" t="inlineStr">
        <is>
          <t>991004003079702656</t>
        </is>
      </c>
      <c r="AX848" t="inlineStr">
        <is>
          <t>991004003079702656</t>
        </is>
      </c>
      <c r="AY848" t="inlineStr">
        <is>
          <t>2258944790002656</t>
        </is>
      </c>
      <c r="AZ848" t="inlineStr">
        <is>
          <t>BOOK</t>
        </is>
      </c>
      <c r="BB848" t="inlineStr">
        <is>
          <t>9781400047710</t>
        </is>
      </c>
      <c r="BC848" t="inlineStr">
        <is>
          <t>32285004688734</t>
        </is>
      </c>
      <c r="BD848" t="inlineStr">
        <is>
          <t>893417107</t>
        </is>
      </c>
    </row>
    <row r="849">
      <c r="A849" t="inlineStr">
        <is>
          <t>No</t>
        </is>
      </c>
      <c r="B849" t="inlineStr">
        <is>
          <t>HV6769 .L43 2007</t>
        </is>
      </c>
      <c r="C849" t="inlineStr">
        <is>
          <t>0                      HV 6769000L  43          2007</t>
        </is>
      </c>
      <c r="D849" t="inlineStr">
        <is>
          <t>Dishonest dollars : the dynamics of white-collar crime / Terry L. Leap.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Leap, Terry L., 1948-</t>
        </is>
      </c>
      <c r="L849" t="inlineStr">
        <is>
          <t>Ithaca : ILR Press/Cornell University Press, 2007.</t>
        </is>
      </c>
      <c r="M849" t="inlineStr">
        <is>
          <t>2007</t>
        </is>
      </c>
      <c r="O849" t="inlineStr">
        <is>
          <t>eng</t>
        </is>
      </c>
      <c r="P849" t="inlineStr">
        <is>
          <t>nyu</t>
        </is>
      </c>
      <c r="R849" t="inlineStr">
        <is>
          <t xml:space="preserve">HV </t>
        </is>
      </c>
      <c r="S849" t="n">
        <v>4</v>
      </c>
      <c r="T849" t="n">
        <v>4</v>
      </c>
      <c r="U849" t="inlineStr">
        <is>
          <t>2010-12-01</t>
        </is>
      </c>
      <c r="V849" t="inlineStr">
        <is>
          <t>2010-12-01</t>
        </is>
      </c>
      <c r="W849" t="inlineStr">
        <is>
          <t>2007-10-31</t>
        </is>
      </c>
      <c r="X849" t="inlineStr">
        <is>
          <t>2007-10-31</t>
        </is>
      </c>
      <c r="Y849" t="n">
        <v>647</v>
      </c>
      <c r="Z849" t="n">
        <v>561</v>
      </c>
      <c r="AA849" t="n">
        <v>833</v>
      </c>
      <c r="AB849" t="n">
        <v>5</v>
      </c>
      <c r="AC849" t="n">
        <v>8</v>
      </c>
      <c r="AD849" t="n">
        <v>28</v>
      </c>
      <c r="AE849" t="n">
        <v>40</v>
      </c>
      <c r="AF849" t="n">
        <v>10</v>
      </c>
      <c r="AG849" t="n">
        <v>14</v>
      </c>
      <c r="AH849" t="n">
        <v>5</v>
      </c>
      <c r="AI849" t="n">
        <v>9</v>
      </c>
      <c r="AJ849" t="n">
        <v>12</v>
      </c>
      <c r="AK849" t="n">
        <v>15</v>
      </c>
      <c r="AL849" t="n">
        <v>4</v>
      </c>
      <c r="AM849" t="n">
        <v>7</v>
      </c>
      <c r="AN849" t="n">
        <v>3</v>
      </c>
      <c r="AO849" t="n">
        <v>3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HYPERLINK("https://creighton-primo.hosted.exlibrisgroup.com/primo-explore/search?tab=default_tab&amp;search_scope=EVERYTHING&amp;vid=01CRU&amp;lang=en_US&amp;offset=0&amp;query=any,contains,991005130919702656","Catalog Record")</f>
        <v/>
      </c>
      <c r="AT849">
        <f>HYPERLINK("http://www.worldcat.org/oclc/71173690","WorldCat Record")</f>
        <v/>
      </c>
      <c r="AU849" t="inlineStr">
        <is>
          <t>198824330:eng</t>
        </is>
      </c>
      <c r="AV849" t="inlineStr">
        <is>
          <t>71173690</t>
        </is>
      </c>
      <c r="AW849" t="inlineStr">
        <is>
          <t>991005130919702656</t>
        </is>
      </c>
      <c r="AX849" t="inlineStr">
        <is>
          <t>991005130919702656</t>
        </is>
      </c>
      <c r="AY849" t="inlineStr">
        <is>
          <t>2260340720002656</t>
        </is>
      </c>
      <c r="AZ849" t="inlineStr">
        <is>
          <t>BOOK</t>
        </is>
      </c>
      <c r="BB849" t="inlineStr">
        <is>
          <t>9780801445200</t>
        </is>
      </c>
      <c r="BC849" t="inlineStr">
        <is>
          <t>32285005363543</t>
        </is>
      </c>
      <c r="BD849" t="inlineStr">
        <is>
          <t>893430905</t>
        </is>
      </c>
    </row>
    <row r="850">
      <c r="A850" t="inlineStr">
        <is>
          <t>No</t>
        </is>
      </c>
      <c r="B850" t="inlineStr">
        <is>
          <t>HV6769 .S93 1983</t>
        </is>
      </c>
      <c r="C850" t="inlineStr">
        <is>
          <t>0                      HV 6769000S  93          1983</t>
        </is>
      </c>
      <c r="D850" t="inlineStr">
        <is>
          <t>White collar crime : the uncut version / Edwin H. Sutherland ; with an introduction by Gilbert Geis and Colin Goff.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Sutherland, Edwin Hardin, 1883-1950.</t>
        </is>
      </c>
      <c r="L850" t="inlineStr">
        <is>
          <t>New Haven : Yale University Press, c1983.</t>
        </is>
      </c>
      <c r="M850" t="inlineStr">
        <is>
          <t>1983</t>
        </is>
      </c>
      <c r="O850" t="inlineStr">
        <is>
          <t>eng</t>
        </is>
      </c>
      <c r="P850" t="inlineStr">
        <is>
          <t>ctu</t>
        </is>
      </c>
      <c r="R850" t="inlineStr">
        <is>
          <t xml:space="preserve">HV </t>
        </is>
      </c>
      <c r="S850" t="n">
        <v>16</v>
      </c>
      <c r="T850" t="n">
        <v>16</v>
      </c>
      <c r="U850" t="inlineStr">
        <is>
          <t>2010-12-01</t>
        </is>
      </c>
      <c r="V850" t="inlineStr">
        <is>
          <t>2010-12-01</t>
        </is>
      </c>
      <c r="W850" t="inlineStr">
        <is>
          <t>1990-04-09</t>
        </is>
      </c>
      <c r="X850" t="inlineStr">
        <is>
          <t>1990-04-09</t>
        </is>
      </c>
      <c r="Y850" t="n">
        <v>967</v>
      </c>
      <c r="Z850" t="n">
        <v>830</v>
      </c>
      <c r="AA850" t="n">
        <v>1478</v>
      </c>
      <c r="AB850" t="n">
        <v>5</v>
      </c>
      <c r="AC850" t="n">
        <v>12</v>
      </c>
      <c r="AD850" t="n">
        <v>43</v>
      </c>
      <c r="AE850" t="n">
        <v>71</v>
      </c>
      <c r="AF850" t="n">
        <v>13</v>
      </c>
      <c r="AG850" t="n">
        <v>24</v>
      </c>
      <c r="AH850" t="n">
        <v>7</v>
      </c>
      <c r="AI850" t="n">
        <v>11</v>
      </c>
      <c r="AJ850" t="n">
        <v>17</v>
      </c>
      <c r="AK850" t="n">
        <v>25</v>
      </c>
      <c r="AL850" t="n">
        <v>3</v>
      </c>
      <c r="AM850" t="n">
        <v>10</v>
      </c>
      <c r="AN850" t="n">
        <v>13</v>
      </c>
      <c r="AO850" t="n">
        <v>14</v>
      </c>
      <c r="AP850" t="inlineStr">
        <is>
          <t>No</t>
        </is>
      </c>
      <c r="AQ850" t="inlineStr">
        <is>
          <t>No</t>
        </is>
      </c>
      <c r="AS850">
        <f>HYPERLINK("https://creighton-primo.hosted.exlibrisgroup.com/primo-explore/search?tab=default_tab&amp;search_scope=EVERYTHING&amp;vid=01CRU&amp;lang=en_US&amp;offset=0&amp;query=any,contains,991000135009702656","Catalog Record")</f>
        <v/>
      </c>
      <c r="AT850">
        <f>HYPERLINK("http://www.worldcat.org/oclc/9131891","WorldCat Record")</f>
        <v/>
      </c>
      <c r="AU850" t="inlineStr">
        <is>
          <t>9846652653:eng</t>
        </is>
      </c>
      <c r="AV850" t="inlineStr">
        <is>
          <t>9131891</t>
        </is>
      </c>
      <c r="AW850" t="inlineStr">
        <is>
          <t>991000135009702656</t>
        </is>
      </c>
      <c r="AX850" t="inlineStr">
        <is>
          <t>991000135009702656</t>
        </is>
      </c>
      <c r="AY850" t="inlineStr">
        <is>
          <t>2267040180002656</t>
        </is>
      </c>
      <c r="AZ850" t="inlineStr">
        <is>
          <t>BOOK</t>
        </is>
      </c>
      <c r="BB850" t="inlineStr">
        <is>
          <t>9780300029215</t>
        </is>
      </c>
      <c r="BC850" t="inlineStr">
        <is>
          <t>32285000112788</t>
        </is>
      </c>
      <c r="BD850" t="inlineStr">
        <is>
          <t>893237094</t>
        </is>
      </c>
    </row>
    <row r="851">
      <c r="A851" t="inlineStr">
        <is>
          <t>No</t>
        </is>
      </c>
      <c r="B851" t="inlineStr">
        <is>
          <t>HV6773 .G72 1998</t>
        </is>
      </c>
      <c r="C851" t="inlineStr">
        <is>
          <t>0                      HV 6773000G  72          1998</t>
        </is>
      </c>
      <c r="D851" t="inlineStr">
        <is>
          <t>Crime in the digital age : controlling telecommunications and cyberspace illegalities / P.N. Grabosky, Russell G. Smith ; with the assistance of Paul Wright.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K851" t="inlineStr">
        <is>
          <t>Grabosky, Peter N., 1945-</t>
        </is>
      </c>
      <c r="L851" t="inlineStr">
        <is>
          <t>New Brunswick, N.J. : Transaction Publishers ; Leichhardt, NSW, Australia : Federation Press, 1998.</t>
        </is>
      </c>
      <c r="M851" t="inlineStr">
        <is>
          <t>1998</t>
        </is>
      </c>
      <c r="O851" t="inlineStr">
        <is>
          <t>eng</t>
        </is>
      </c>
      <c r="P851" t="inlineStr">
        <is>
          <t>nju</t>
        </is>
      </c>
      <c r="R851" t="inlineStr">
        <is>
          <t xml:space="preserve">HV </t>
        </is>
      </c>
      <c r="S851" t="n">
        <v>12</v>
      </c>
      <c r="T851" t="n">
        <v>12</v>
      </c>
      <c r="U851" t="inlineStr">
        <is>
          <t>2002-10-04</t>
        </is>
      </c>
      <c r="V851" t="inlineStr">
        <is>
          <t>2002-10-04</t>
        </is>
      </c>
      <c r="W851" t="inlineStr">
        <is>
          <t>1999-01-04</t>
        </is>
      </c>
      <c r="X851" t="inlineStr">
        <is>
          <t>1999-01-04</t>
        </is>
      </c>
      <c r="Y851" t="n">
        <v>498</v>
      </c>
      <c r="Z851" t="n">
        <v>341</v>
      </c>
      <c r="AA851" t="n">
        <v>357</v>
      </c>
      <c r="AB851" t="n">
        <v>3</v>
      </c>
      <c r="AC851" t="n">
        <v>3</v>
      </c>
      <c r="AD851" t="n">
        <v>18</v>
      </c>
      <c r="AE851" t="n">
        <v>18</v>
      </c>
      <c r="AF851" t="n">
        <v>5</v>
      </c>
      <c r="AG851" t="n">
        <v>5</v>
      </c>
      <c r="AH851" t="n">
        <v>2</v>
      </c>
      <c r="AI851" t="n">
        <v>2</v>
      </c>
      <c r="AJ851" t="n">
        <v>6</v>
      </c>
      <c r="AK851" t="n">
        <v>6</v>
      </c>
      <c r="AL851" t="n">
        <v>2</v>
      </c>
      <c r="AM851" t="n">
        <v>2</v>
      </c>
      <c r="AN851" t="n">
        <v>8</v>
      </c>
      <c r="AO851" t="n">
        <v>8</v>
      </c>
      <c r="AP851" t="inlineStr">
        <is>
          <t>No</t>
        </is>
      </c>
      <c r="AQ851" t="inlineStr">
        <is>
          <t>No</t>
        </is>
      </c>
      <c r="AS851">
        <f>HYPERLINK("https://creighton-primo.hosted.exlibrisgroup.com/primo-explore/search?tab=default_tab&amp;search_scope=EVERYTHING&amp;vid=01CRU&amp;lang=en_US&amp;offset=0&amp;query=any,contains,991002890959702656","Catalog Record")</f>
        <v/>
      </c>
      <c r="AT851">
        <f>HYPERLINK("http://www.worldcat.org/oclc/38090875","WorldCat Record")</f>
        <v/>
      </c>
      <c r="AU851" t="inlineStr">
        <is>
          <t>863814947:eng</t>
        </is>
      </c>
      <c r="AV851" t="inlineStr">
        <is>
          <t>38090875</t>
        </is>
      </c>
      <c r="AW851" t="inlineStr">
        <is>
          <t>991002890959702656</t>
        </is>
      </c>
      <c r="AX851" t="inlineStr">
        <is>
          <t>991002890959702656</t>
        </is>
      </c>
      <c r="AY851" t="inlineStr">
        <is>
          <t>2272596800002656</t>
        </is>
      </c>
      <c r="AZ851" t="inlineStr">
        <is>
          <t>BOOK</t>
        </is>
      </c>
      <c r="BB851" t="inlineStr">
        <is>
          <t>9780765804587</t>
        </is>
      </c>
      <c r="BC851" t="inlineStr">
        <is>
          <t>32285003508339</t>
        </is>
      </c>
      <c r="BD851" t="inlineStr">
        <is>
          <t>893409684</t>
        </is>
      </c>
    </row>
    <row r="852">
      <c r="A852" t="inlineStr">
        <is>
          <t>No</t>
        </is>
      </c>
      <c r="B852" t="inlineStr">
        <is>
          <t>HV6773 .I26 1995</t>
        </is>
      </c>
      <c r="C852" t="inlineStr">
        <is>
          <t>0                      HV 6773000I  26          1995</t>
        </is>
      </c>
      <c r="D852" t="inlineStr">
        <is>
          <t>Computer crime : a crimefighter's handbook / David Icove, Karl Seger, and William VonStorch.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Icove, David J., 1949-</t>
        </is>
      </c>
      <c r="L852" t="inlineStr">
        <is>
          <t>Sebastopol, CA : O'Reilly &amp; Associates, c1995.</t>
        </is>
      </c>
      <c r="M852" t="inlineStr">
        <is>
          <t>1995</t>
        </is>
      </c>
      <c r="N852" t="inlineStr">
        <is>
          <t>1st ed.</t>
        </is>
      </c>
      <c r="O852" t="inlineStr">
        <is>
          <t>eng</t>
        </is>
      </c>
      <c r="P852" t="inlineStr">
        <is>
          <t>cau</t>
        </is>
      </c>
      <c r="Q852" t="inlineStr">
        <is>
          <t>A Nutshell handbook</t>
        </is>
      </c>
      <c r="R852" t="inlineStr">
        <is>
          <t xml:space="preserve">HV </t>
        </is>
      </c>
      <c r="S852" t="n">
        <v>13</v>
      </c>
      <c r="T852" t="n">
        <v>13</v>
      </c>
      <c r="U852" t="inlineStr">
        <is>
          <t>2003-01-20</t>
        </is>
      </c>
      <c r="V852" t="inlineStr">
        <is>
          <t>2003-01-20</t>
        </is>
      </c>
      <c r="W852" t="inlineStr">
        <is>
          <t>1996-01-18</t>
        </is>
      </c>
      <c r="X852" t="inlineStr">
        <is>
          <t>1996-01-18</t>
        </is>
      </c>
      <c r="Y852" t="n">
        <v>452</v>
      </c>
      <c r="Z852" t="n">
        <v>330</v>
      </c>
      <c r="AA852" t="n">
        <v>852</v>
      </c>
      <c r="AB852" t="n">
        <v>2</v>
      </c>
      <c r="AC852" t="n">
        <v>3</v>
      </c>
      <c r="AD852" t="n">
        <v>15</v>
      </c>
      <c r="AE852" t="n">
        <v>25</v>
      </c>
      <c r="AF852" t="n">
        <v>2</v>
      </c>
      <c r="AG852" t="n">
        <v>8</v>
      </c>
      <c r="AH852" t="n">
        <v>4</v>
      </c>
      <c r="AI852" t="n">
        <v>5</v>
      </c>
      <c r="AJ852" t="n">
        <v>5</v>
      </c>
      <c r="AK852" t="n">
        <v>9</v>
      </c>
      <c r="AL852" t="n">
        <v>1</v>
      </c>
      <c r="AM852" t="n">
        <v>2</v>
      </c>
      <c r="AN852" t="n">
        <v>6</v>
      </c>
      <c r="AO852" t="n">
        <v>6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HYPERLINK("https://creighton-primo.hosted.exlibrisgroup.com/primo-explore/search?tab=default_tab&amp;search_scope=EVERYTHING&amp;vid=01CRU&amp;lang=en_US&amp;offset=0&amp;query=any,contains,991002544079702656","Catalog Record")</f>
        <v/>
      </c>
      <c r="AT852">
        <f>HYPERLINK("http://www.worldcat.org/oclc/33058274","WorldCat Record")</f>
        <v/>
      </c>
      <c r="AU852" t="inlineStr">
        <is>
          <t>34590556:eng</t>
        </is>
      </c>
      <c r="AV852" t="inlineStr">
        <is>
          <t>33058274</t>
        </is>
      </c>
      <c r="AW852" t="inlineStr">
        <is>
          <t>991002544079702656</t>
        </is>
      </c>
      <c r="AX852" t="inlineStr">
        <is>
          <t>991002544079702656</t>
        </is>
      </c>
      <c r="AY852" t="inlineStr">
        <is>
          <t>2271024570002656</t>
        </is>
      </c>
      <c r="AZ852" t="inlineStr">
        <is>
          <t>BOOK</t>
        </is>
      </c>
      <c r="BB852" t="inlineStr">
        <is>
          <t>9781565920866</t>
        </is>
      </c>
      <c r="BC852" t="inlineStr">
        <is>
          <t>32285002119393</t>
        </is>
      </c>
      <c r="BD852" t="inlineStr">
        <is>
          <t>893421509</t>
        </is>
      </c>
    </row>
    <row r="853">
      <c r="A853" t="inlineStr">
        <is>
          <t>No</t>
        </is>
      </c>
      <c r="B853" t="inlineStr">
        <is>
          <t>HV6773 .I57 1998</t>
        </is>
      </c>
      <c r="C853" t="inlineStr">
        <is>
          <t>0                      HV 6773000I  57          1998</t>
        </is>
      </c>
      <c r="D853" t="inlineStr">
        <is>
          <t>Internet besieged : countering cyberspace scofflaws / [edited by] Dorothy E. Denning, Peter J. Denning.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L853" t="inlineStr">
        <is>
          <t>New York, N.Y. : ACM Press ; Reading, Mass. : Addison Wesley, c1998.</t>
        </is>
      </c>
      <c r="M853" t="inlineStr">
        <is>
          <t>1998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HV </t>
        </is>
      </c>
      <c r="S853" t="n">
        <v>7</v>
      </c>
      <c r="T853" t="n">
        <v>7</v>
      </c>
      <c r="U853" t="inlineStr">
        <is>
          <t>2000-03-27</t>
        </is>
      </c>
      <c r="V853" t="inlineStr">
        <is>
          <t>2000-03-27</t>
        </is>
      </c>
      <c r="W853" t="inlineStr">
        <is>
          <t>1999-04-12</t>
        </is>
      </c>
      <c r="X853" t="inlineStr">
        <is>
          <t>1999-04-12</t>
        </is>
      </c>
      <c r="Y853" t="n">
        <v>334</v>
      </c>
      <c r="Z853" t="n">
        <v>243</v>
      </c>
      <c r="AA853" t="n">
        <v>244</v>
      </c>
      <c r="AB853" t="n">
        <v>1</v>
      </c>
      <c r="AC853" t="n">
        <v>1</v>
      </c>
      <c r="AD853" t="n">
        <v>11</v>
      </c>
      <c r="AE853" t="n">
        <v>11</v>
      </c>
      <c r="AF853" t="n">
        <v>4</v>
      </c>
      <c r="AG853" t="n">
        <v>4</v>
      </c>
      <c r="AH853" t="n">
        <v>3</v>
      </c>
      <c r="AI853" t="n">
        <v>3</v>
      </c>
      <c r="AJ853" t="n">
        <v>6</v>
      </c>
      <c r="AK853" t="n">
        <v>6</v>
      </c>
      <c r="AL853" t="n">
        <v>0</v>
      </c>
      <c r="AM853" t="n">
        <v>0</v>
      </c>
      <c r="AN853" t="n">
        <v>1</v>
      </c>
      <c r="AO853" t="n">
        <v>1</v>
      </c>
      <c r="AP853" t="inlineStr">
        <is>
          <t>No</t>
        </is>
      </c>
      <c r="AQ853" t="inlineStr">
        <is>
          <t>Yes</t>
        </is>
      </c>
      <c r="AR853">
        <f>HYPERLINK("http://catalog.hathitrust.org/Record/007154340","HathiTrust Record")</f>
        <v/>
      </c>
      <c r="AS853">
        <f>HYPERLINK("https://creighton-primo.hosted.exlibrisgroup.com/primo-explore/search?tab=default_tab&amp;search_scope=EVERYTHING&amp;vid=01CRU&amp;lang=en_US&amp;offset=0&amp;query=any,contains,991002832129702656","Catalog Record")</f>
        <v/>
      </c>
      <c r="AT853">
        <f>HYPERLINK("http://www.worldcat.org/oclc/37300658","WorldCat Record")</f>
        <v/>
      </c>
      <c r="AU853" t="inlineStr">
        <is>
          <t>836983764:eng</t>
        </is>
      </c>
      <c r="AV853" t="inlineStr">
        <is>
          <t>37300658</t>
        </is>
      </c>
      <c r="AW853" t="inlineStr">
        <is>
          <t>991002832129702656</t>
        </is>
      </c>
      <c r="AX853" t="inlineStr">
        <is>
          <t>991002832129702656</t>
        </is>
      </c>
      <c r="AY853" t="inlineStr">
        <is>
          <t>2259428130002656</t>
        </is>
      </c>
      <c r="AZ853" t="inlineStr">
        <is>
          <t>BOOK</t>
        </is>
      </c>
      <c r="BB853" t="inlineStr">
        <is>
          <t>9780201308204</t>
        </is>
      </c>
      <c r="BC853" t="inlineStr">
        <is>
          <t>32285003551032</t>
        </is>
      </c>
      <c r="BD853" t="inlineStr">
        <is>
          <t>893886792</t>
        </is>
      </c>
    </row>
    <row r="854">
      <c r="A854" t="inlineStr">
        <is>
          <t>No</t>
        </is>
      </c>
      <c r="B854" t="inlineStr">
        <is>
          <t>HV6773 .P374 1998</t>
        </is>
      </c>
      <c r="C854" t="inlineStr">
        <is>
          <t>0                      HV 6773000P  374         1998</t>
        </is>
      </c>
      <c r="D854" t="inlineStr">
        <is>
          <t>Fighting computer crime : a new framework for protecting information / Donn B. Parker.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Parker, Donn B.</t>
        </is>
      </c>
      <c r="L854" t="inlineStr">
        <is>
          <t>New York : Wiley, c1998.</t>
        </is>
      </c>
      <c r="M854" t="inlineStr">
        <is>
          <t>1998</t>
        </is>
      </c>
      <c r="O854" t="inlineStr">
        <is>
          <t>eng</t>
        </is>
      </c>
      <c r="P854" t="inlineStr">
        <is>
          <t>nyu</t>
        </is>
      </c>
      <c r="R854" t="inlineStr">
        <is>
          <t xml:space="preserve">HV </t>
        </is>
      </c>
      <c r="S854" t="n">
        <v>2</v>
      </c>
      <c r="T854" t="n">
        <v>2</v>
      </c>
      <c r="U854" t="inlineStr">
        <is>
          <t>2007-01-05</t>
        </is>
      </c>
      <c r="V854" t="inlineStr">
        <is>
          <t>2007-01-05</t>
        </is>
      </c>
      <c r="W854" t="inlineStr">
        <is>
          <t>2006-11-21</t>
        </is>
      </c>
      <c r="X854" t="inlineStr">
        <is>
          <t>2006-11-21</t>
        </is>
      </c>
      <c r="Y854" t="n">
        <v>433</v>
      </c>
      <c r="Z854" t="n">
        <v>332</v>
      </c>
      <c r="AA854" t="n">
        <v>917</v>
      </c>
      <c r="AB854" t="n">
        <v>3</v>
      </c>
      <c r="AC854" t="n">
        <v>7</v>
      </c>
      <c r="AD854" t="n">
        <v>19</v>
      </c>
      <c r="AE854" t="n">
        <v>39</v>
      </c>
      <c r="AF854" t="n">
        <v>3</v>
      </c>
      <c r="AG854" t="n">
        <v>10</v>
      </c>
      <c r="AH854" t="n">
        <v>2</v>
      </c>
      <c r="AI854" t="n">
        <v>5</v>
      </c>
      <c r="AJ854" t="n">
        <v>7</v>
      </c>
      <c r="AK854" t="n">
        <v>13</v>
      </c>
      <c r="AL854" t="n">
        <v>2</v>
      </c>
      <c r="AM854" t="n">
        <v>6</v>
      </c>
      <c r="AN854" t="n">
        <v>8</v>
      </c>
      <c r="AO854" t="n">
        <v>11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HYPERLINK("https://creighton-primo.hosted.exlibrisgroup.com/primo-explore/search?tab=default_tab&amp;search_scope=EVERYTHING&amp;vid=01CRU&amp;lang=en_US&amp;offset=0&amp;query=any,contains,991004979669702656","Catalog Record")</f>
        <v/>
      </c>
      <c r="AT854">
        <f>HYPERLINK("http://www.worldcat.org/oclc/39322950","WorldCat Record")</f>
        <v/>
      </c>
      <c r="AU854" t="inlineStr">
        <is>
          <t>836953663:eng</t>
        </is>
      </c>
      <c r="AV854" t="inlineStr">
        <is>
          <t>39322950</t>
        </is>
      </c>
      <c r="AW854" t="inlineStr">
        <is>
          <t>991004979669702656</t>
        </is>
      </c>
      <c r="AX854" t="inlineStr">
        <is>
          <t>991004979669702656</t>
        </is>
      </c>
      <c r="AY854" t="inlineStr">
        <is>
          <t>2265760290002656</t>
        </is>
      </c>
      <c r="AZ854" t="inlineStr">
        <is>
          <t>BOOK</t>
        </is>
      </c>
      <c r="BB854" t="inlineStr">
        <is>
          <t>9780471163787</t>
        </is>
      </c>
      <c r="BC854" t="inlineStr">
        <is>
          <t>32285005261564</t>
        </is>
      </c>
      <c r="BD854" t="inlineStr">
        <is>
          <t>893719618</t>
        </is>
      </c>
    </row>
    <row r="855">
      <c r="A855" t="inlineStr">
        <is>
          <t>No</t>
        </is>
      </c>
      <c r="B855" t="inlineStr">
        <is>
          <t>HV6773 .S3547 2004</t>
        </is>
      </c>
      <c r="C855" t="inlineStr">
        <is>
          <t>0                      HV 6773000S  3547        2004</t>
        </is>
      </c>
      <c r="D855" t="inlineStr">
        <is>
          <t>Cybercrime : a reference handbook / Bernadette H. Schell and Clemens Martin.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Schell, Bernadette H. (Bernadette Hlubik), 1952-</t>
        </is>
      </c>
      <c r="L855" t="inlineStr">
        <is>
          <t>Santa Barbara, Calif. : ABC-CLIO, c2004.</t>
        </is>
      </c>
      <c r="M855" t="inlineStr">
        <is>
          <t>2004</t>
        </is>
      </c>
      <c r="O855" t="inlineStr">
        <is>
          <t>eng</t>
        </is>
      </c>
      <c r="P855" t="inlineStr">
        <is>
          <t>cau</t>
        </is>
      </c>
      <c r="Q855" t="inlineStr">
        <is>
          <t>Contemporary world issues</t>
        </is>
      </c>
      <c r="R855" t="inlineStr">
        <is>
          <t xml:space="preserve">HV </t>
        </is>
      </c>
      <c r="S855" t="n">
        <v>3</v>
      </c>
      <c r="T855" t="n">
        <v>3</v>
      </c>
      <c r="U855" t="inlineStr">
        <is>
          <t>2010-12-05</t>
        </is>
      </c>
      <c r="V855" t="inlineStr">
        <is>
          <t>2010-12-05</t>
        </is>
      </c>
      <c r="W855" t="inlineStr">
        <is>
          <t>2004-11-17</t>
        </is>
      </c>
      <c r="X855" t="inlineStr">
        <is>
          <t>2004-11-17</t>
        </is>
      </c>
      <c r="Y855" t="n">
        <v>888</v>
      </c>
      <c r="Z855" t="n">
        <v>812</v>
      </c>
      <c r="AA855" t="n">
        <v>1180</v>
      </c>
      <c r="AB855" t="n">
        <v>4</v>
      </c>
      <c r="AC855" t="n">
        <v>6</v>
      </c>
      <c r="AD855" t="n">
        <v>28</v>
      </c>
      <c r="AE855" t="n">
        <v>37</v>
      </c>
      <c r="AF855" t="n">
        <v>12</v>
      </c>
      <c r="AG855" t="n">
        <v>19</v>
      </c>
      <c r="AH855" t="n">
        <v>4</v>
      </c>
      <c r="AI855" t="n">
        <v>5</v>
      </c>
      <c r="AJ855" t="n">
        <v>7</v>
      </c>
      <c r="AK855" t="n">
        <v>11</v>
      </c>
      <c r="AL855" t="n">
        <v>2</v>
      </c>
      <c r="AM855" t="n">
        <v>4</v>
      </c>
      <c r="AN855" t="n">
        <v>7</v>
      </c>
      <c r="AO855" t="n">
        <v>7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HYPERLINK("https://creighton-primo.hosted.exlibrisgroup.com/primo-explore/search?tab=default_tab&amp;search_scope=EVERYTHING&amp;vid=01CRU&amp;lang=en_US&amp;offset=0&amp;query=any,contains,991004414999702656","Catalog Record")</f>
        <v/>
      </c>
      <c r="AT855">
        <f>HYPERLINK("http://www.worldcat.org/oclc/55682154","WorldCat Record")</f>
        <v/>
      </c>
      <c r="AU855" t="inlineStr">
        <is>
          <t>792933284:eng</t>
        </is>
      </c>
      <c r="AV855" t="inlineStr">
        <is>
          <t>55682154</t>
        </is>
      </c>
      <c r="AW855" t="inlineStr">
        <is>
          <t>991004414999702656</t>
        </is>
      </c>
      <c r="AX855" t="inlineStr">
        <is>
          <t>991004414999702656</t>
        </is>
      </c>
      <c r="AY855" t="inlineStr">
        <is>
          <t>2271535280002656</t>
        </is>
      </c>
      <c r="AZ855" t="inlineStr">
        <is>
          <t>BOOK</t>
        </is>
      </c>
      <c r="BB855" t="inlineStr">
        <is>
          <t>9781851096831</t>
        </is>
      </c>
      <c r="BC855" t="inlineStr">
        <is>
          <t>32285005011332</t>
        </is>
      </c>
      <c r="BD855" t="inlineStr">
        <is>
          <t>893229336</t>
        </is>
      </c>
    </row>
    <row r="856">
      <c r="A856" t="inlineStr">
        <is>
          <t>No</t>
        </is>
      </c>
      <c r="B856" t="inlineStr">
        <is>
          <t>HV6773 .W35 2003</t>
        </is>
      </c>
      <c r="C856" t="inlineStr">
        <is>
          <t>0                      HV 6773000W  35          2003</t>
        </is>
      </c>
      <c r="D856" t="inlineStr">
        <is>
          <t>Steal this computer book 3 : what they won't tell you about the Internet / Wallace Wang.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Wang, Wally.</t>
        </is>
      </c>
      <c r="L856" t="inlineStr">
        <is>
          <t>San Francisco : No Starch Press, c2003.</t>
        </is>
      </c>
      <c r="M856" t="inlineStr">
        <is>
          <t>2003</t>
        </is>
      </c>
      <c r="O856" t="inlineStr">
        <is>
          <t>eng</t>
        </is>
      </c>
      <c r="P856" t="inlineStr">
        <is>
          <t>cau</t>
        </is>
      </c>
      <c r="R856" t="inlineStr">
        <is>
          <t xml:space="preserve">HV </t>
        </is>
      </c>
      <c r="S856" t="n">
        <v>1</v>
      </c>
      <c r="T856" t="n">
        <v>1</v>
      </c>
      <c r="U856" t="inlineStr">
        <is>
          <t>2003-11-20</t>
        </is>
      </c>
      <c r="V856" t="inlineStr">
        <is>
          <t>2003-11-20</t>
        </is>
      </c>
      <c r="W856" t="inlineStr">
        <is>
          <t>2003-11-20</t>
        </is>
      </c>
      <c r="X856" t="inlineStr">
        <is>
          <t>2003-11-20</t>
        </is>
      </c>
      <c r="Y856" t="n">
        <v>363</v>
      </c>
      <c r="Z856" t="n">
        <v>328</v>
      </c>
      <c r="AA856" t="n">
        <v>761</v>
      </c>
      <c r="AB856" t="n">
        <v>3</v>
      </c>
      <c r="AC856" t="n">
        <v>7</v>
      </c>
      <c r="AD856" t="n">
        <v>9</v>
      </c>
      <c r="AE856" t="n">
        <v>29</v>
      </c>
      <c r="AF856" t="n">
        <v>5</v>
      </c>
      <c r="AG856" t="n">
        <v>10</v>
      </c>
      <c r="AH856" t="n">
        <v>1</v>
      </c>
      <c r="AI856" t="n">
        <v>7</v>
      </c>
      <c r="AJ856" t="n">
        <v>4</v>
      </c>
      <c r="AK856" t="n">
        <v>10</v>
      </c>
      <c r="AL856" t="n">
        <v>0</v>
      </c>
      <c r="AM856" t="n">
        <v>4</v>
      </c>
      <c r="AN856" t="n">
        <v>0</v>
      </c>
      <c r="AO856" t="n">
        <v>1</v>
      </c>
      <c r="AP856" t="inlineStr">
        <is>
          <t>No</t>
        </is>
      </c>
      <c r="AQ856" t="inlineStr">
        <is>
          <t>No</t>
        </is>
      </c>
      <c r="AS856">
        <f>HYPERLINK("https://creighton-primo.hosted.exlibrisgroup.com/primo-explore/search?tab=default_tab&amp;search_scope=EVERYTHING&amp;vid=01CRU&amp;lang=en_US&amp;offset=0&amp;query=any,contains,991004176839702656","Catalog Record")</f>
        <v/>
      </c>
      <c r="AT856">
        <f>HYPERLINK("http://www.worldcat.org/oclc/51447107","WorldCat Record")</f>
        <v/>
      </c>
      <c r="AU856" t="inlineStr">
        <is>
          <t>2864684228:eng</t>
        </is>
      </c>
      <c r="AV856" t="inlineStr">
        <is>
          <t>51447107</t>
        </is>
      </c>
      <c r="AW856" t="inlineStr">
        <is>
          <t>991004176839702656</t>
        </is>
      </c>
      <c r="AX856" t="inlineStr">
        <is>
          <t>991004176839702656</t>
        </is>
      </c>
      <c r="AY856" t="inlineStr">
        <is>
          <t>2261279380002656</t>
        </is>
      </c>
      <c r="AZ856" t="inlineStr">
        <is>
          <t>BOOK</t>
        </is>
      </c>
      <c r="BB856" t="inlineStr">
        <is>
          <t>9781593270001</t>
        </is>
      </c>
      <c r="BC856" t="inlineStr">
        <is>
          <t>32285004840368</t>
        </is>
      </c>
      <c r="BD856" t="inlineStr">
        <is>
          <t>893875773</t>
        </is>
      </c>
    </row>
    <row r="857">
      <c r="A857" t="inlineStr">
        <is>
          <t>No</t>
        </is>
      </c>
      <c r="B857" t="inlineStr">
        <is>
          <t>HV6773 .W49 1978</t>
        </is>
      </c>
      <c r="C857" t="inlineStr">
        <is>
          <t>0                      HV 6773000W  49          1978</t>
        </is>
      </c>
      <c r="D857" t="inlineStr">
        <is>
          <t>Computer capers : tales of electronic thievery, embezzlement, and fraud / Thomas Whiteside.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Whiteside, Thomas, 1918-1997.</t>
        </is>
      </c>
      <c r="L857" t="inlineStr">
        <is>
          <t>New York : Crowell, c1978.</t>
        </is>
      </c>
      <c r="M857" t="inlineStr">
        <is>
          <t>1978</t>
        </is>
      </c>
      <c r="N857" t="inlineStr">
        <is>
          <t>1st ed.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HV </t>
        </is>
      </c>
      <c r="S857" t="n">
        <v>3</v>
      </c>
      <c r="T857" t="n">
        <v>3</v>
      </c>
      <c r="U857" t="inlineStr">
        <is>
          <t>1999-05-05</t>
        </is>
      </c>
      <c r="V857" t="inlineStr">
        <is>
          <t>1999-05-05</t>
        </is>
      </c>
      <c r="W857" t="inlineStr">
        <is>
          <t>1995-05-03</t>
        </is>
      </c>
      <c r="X857" t="inlineStr">
        <is>
          <t>1995-05-03</t>
        </is>
      </c>
      <c r="Y857" t="n">
        <v>729</v>
      </c>
      <c r="Z857" t="n">
        <v>655</v>
      </c>
      <c r="AA857" t="n">
        <v>710</v>
      </c>
      <c r="AB857" t="n">
        <v>4</v>
      </c>
      <c r="AC857" t="n">
        <v>6</v>
      </c>
      <c r="AD857" t="n">
        <v>24</v>
      </c>
      <c r="AE857" t="n">
        <v>30</v>
      </c>
      <c r="AF857" t="n">
        <v>6</v>
      </c>
      <c r="AG857" t="n">
        <v>9</v>
      </c>
      <c r="AH857" t="n">
        <v>5</v>
      </c>
      <c r="AI857" t="n">
        <v>5</v>
      </c>
      <c r="AJ857" t="n">
        <v>9</v>
      </c>
      <c r="AK857" t="n">
        <v>12</v>
      </c>
      <c r="AL857" t="n">
        <v>2</v>
      </c>
      <c r="AM857" t="n">
        <v>4</v>
      </c>
      <c r="AN857" t="n">
        <v>5</v>
      </c>
      <c r="AO857" t="n">
        <v>5</v>
      </c>
      <c r="AP857" t="inlineStr">
        <is>
          <t>No</t>
        </is>
      </c>
      <c r="AQ857" t="inlineStr">
        <is>
          <t>Yes</t>
        </is>
      </c>
      <c r="AR857">
        <f>HYPERLINK("http://catalog.hathitrust.org/Record/000087445","HathiTrust Record")</f>
        <v/>
      </c>
      <c r="AS857">
        <f>HYPERLINK("https://creighton-primo.hosted.exlibrisgroup.com/primo-explore/search?tab=default_tab&amp;search_scope=EVERYTHING&amp;vid=01CRU&amp;lang=en_US&amp;offset=0&amp;query=any,contains,991004445589702656","Catalog Record")</f>
        <v/>
      </c>
      <c r="AT857">
        <f>HYPERLINK("http://www.worldcat.org/oclc/3481380","WorldCat Record")</f>
        <v/>
      </c>
      <c r="AU857" t="inlineStr">
        <is>
          <t>480481860:eng</t>
        </is>
      </c>
      <c r="AV857" t="inlineStr">
        <is>
          <t>3481380</t>
        </is>
      </c>
      <c r="AW857" t="inlineStr">
        <is>
          <t>991004445589702656</t>
        </is>
      </c>
      <c r="AX857" t="inlineStr">
        <is>
          <t>991004445589702656</t>
        </is>
      </c>
      <c r="AY857" t="inlineStr">
        <is>
          <t>2264432750002656</t>
        </is>
      </c>
      <c r="AZ857" t="inlineStr">
        <is>
          <t>BOOK</t>
        </is>
      </c>
      <c r="BB857" t="inlineStr">
        <is>
          <t>9780690017434</t>
        </is>
      </c>
      <c r="BC857" t="inlineStr">
        <is>
          <t>32285002031689</t>
        </is>
      </c>
      <c r="BD857" t="inlineStr">
        <is>
          <t>893624741</t>
        </is>
      </c>
    </row>
    <row r="858">
      <c r="A858" t="inlineStr">
        <is>
          <t>No</t>
        </is>
      </c>
      <c r="B858" t="inlineStr">
        <is>
          <t>HV6773.52 .A47 2005</t>
        </is>
      </c>
      <c r="C858" t="inlineStr">
        <is>
          <t>0                      HV 6773520A  47          2005</t>
        </is>
      </c>
      <c r="D858" t="inlineStr">
        <is>
          <t>Hate crimes : a reference handbook / Donald Altschiller.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Altschiller, Donald.</t>
        </is>
      </c>
      <c r="L858" t="inlineStr">
        <is>
          <t>Santa Barbara, Calif. : ABC-CLIO, c2005.</t>
        </is>
      </c>
      <c r="M858" t="inlineStr">
        <is>
          <t>2005</t>
        </is>
      </c>
      <c r="N858" t="inlineStr">
        <is>
          <t>2nd ed.</t>
        </is>
      </c>
      <c r="O858" t="inlineStr">
        <is>
          <t>eng</t>
        </is>
      </c>
      <c r="P858" t="inlineStr">
        <is>
          <t>cau</t>
        </is>
      </c>
      <c r="Q858" t="inlineStr">
        <is>
          <t>Contemporary world issues</t>
        </is>
      </c>
      <c r="R858" t="inlineStr">
        <is>
          <t xml:space="preserve">HV </t>
        </is>
      </c>
      <c r="S858" t="n">
        <v>3</v>
      </c>
      <c r="T858" t="n">
        <v>3</v>
      </c>
      <c r="U858" t="inlineStr">
        <is>
          <t>2008-02-05</t>
        </is>
      </c>
      <c r="V858" t="inlineStr">
        <is>
          <t>2008-02-05</t>
        </is>
      </c>
      <c r="W858" t="inlineStr">
        <is>
          <t>2005-06-01</t>
        </is>
      </c>
      <c r="X858" t="inlineStr">
        <is>
          <t>2005-06-01</t>
        </is>
      </c>
      <c r="Y858" t="n">
        <v>842</v>
      </c>
      <c r="Z858" t="n">
        <v>786</v>
      </c>
      <c r="AA858" t="n">
        <v>2638</v>
      </c>
      <c r="AB858" t="n">
        <v>6</v>
      </c>
      <c r="AC858" t="n">
        <v>17</v>
      </c>
      <c r="AD858" t="n">
        <v>18</v>
      </c>
      <c r="AE858" t="n">
        <v>62</v>
      </c>
      <c r="AF858" t="n">
        <v>9</v>
      </c>
      <c r="AG858" t="n">
        <v>22</v>
      </c>
      <c r="AH858" t="n">
        <v>2</v>
      </c>
      <c r="AI858" t="n">
        <v>9</v>
      </c>
      <c r="AJ858" t="n">
        <v>7</v>
      </c>
      <c r="AK858" t="n">
        <v>22</v>
      </c>
      <c r="AL858" t="n">
        <v>2</v>
      </c>
      <c r="AM858" t="n">
        <v>10</v>
      </c>
      <c r="AN858" t="n">
        <v>1</v>
      </c>
      <c r="AO858" t="n">
        <v>10</v>
      </c>
      <c r="AP858" t="inlineStr">
        <is>
          <t>No</t>
        </is>
      </c>
      <c r="AQ858" t="inlineStr">
        <is>
          <t>Yes</t>
        </is>
      </c>
      <c r="AR858">
        <f>HYPERLINK("http://catalog.hathitrust.org/Record/005123259","HathiTrust Record")</f>
        <v/>
      </c>
      <c r="AS858">
        <f>HYPERLINK("https://creighton-primo.hosted.exlibrisgroup.com/primo-explore/search?tab=default_tab&amp;search_scope=EVERYTHING&amp;vid=01CRU&amp;lang=en_US&amp;offset=0&amp;query=any,contains,991004548459702656","Catalog Record")</f>
        <v/>
      </c>
      <c r="AT858">
        <f>HYPERLINK("http://www.worldcat.org/oclc/58526782","WorldCat Record")</f>
        <v/>
      </c>
      <c r="AU858" t="inlineStr">
        <is>
          <t>89302:eng</t>
        </is>
      </c>
      <c r="AV858" t="inlineStr">
        <is>
          <t>58526782</t>
        </is>
      </c>
      <c r="AW858" t="inlineStr">
        <is>
          <t>991004548459702656</t>
        </is>
      </c>
      <c r="AX858" t="inlineStr">
        <is>
          <t>991004548459702656</t>
        </is>
      </c>
      <c r="AY858" t="inlineStr">
        <is>
          <t>2258301520002656</t>
        </is>
      </c>
      <c r="AZ858" t="inlineStr">
        <is>
          <t>BOOK</t>
        </is>
      </c>
      <c r="BB858" t="inlineStr">
        <is>
          <t>9781851096244</t>
        </is>
      </c>
      <c r="BC858" t="inlineStr">
        <is>
          <t>32285005092076</t>
        </is>
      </c>
      <c r="BD858" t="inlineStr">
        <is>
          <t>893712753</t>
        </is>
      </c>
    </row>
    <row r="859">
      <c r="A859" t="inlineStr">
        <is>
          <t>No</t>
        </is>
      </c>
      <c r="B859" t="inlineStr">
        <is>
          <t>HV6773.52 .C75 2004</t>
        </is>
      </c>
      <c r="C859" t="inlineStr">
        <is>
          <t>0                      HV 6773520C  75          2004</t>
        </is>
      </c>
      <c r="D859" t="inlineStr">
        <is>
          <t>Crimes of hate : selected readings / edited by Phyllis B. Gerstenfeld, Diana R. Grant.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L859" t="inlineStr">
        <is>
          <t>Thousand Oaks, Calif. : Sage Publications, c2004.</t>
        </is>
      </c>
      <c r="M859" t="inlineStr">
        <is>
          <t>2004</t>
        </is>
      </c>
      <c r="O859" t="inlineStr">
        <is>
          <t>eng</t>
        </is>
      </c>
      <c r="P859" t="inlineStr">
        <is>
          <t>cau</t>
        </is>
      </c>
      <c r="R859" t="inlineStr">
        <is>
          <t xml:space="preserve">HV </t>
        </is>
      </c>
      <c r="S859" t="n">
        <v>2</v>
      </c>
      <c r="T859" t="n">
        <v>2</v>
      </c>
      <c r="U859" t="inlineStr">
        <is>
          <t>2008-02-05</t>
        </is>
      </c>
      <c r="V859" t="inlineStr">
        <is>
          <t>2008-02-05</t>
        </is>
      </c>
      <c r="W859" t="inlineStr">
        <is>
          <t>2004-09-29</t>
        </is>
      </c>
      <c r="X859" t="inlineStr">
        <is>
          <t>2004-09-29</t>
        </is>
      </c>
      <c r="Y859" t="n">
        <v>313</v>
      </c>
      <c r="Z859" t="n">
        <v>252</v>
      </c>
      <c r="AA859" t="n">
        <v>256</v>
      </c>
      <c r="AB859" t="n">
        <v>3</v>
      </c>
      <c r="AC859" t="n">
        <v>3</v>
      </c>
      <c r="AD859" t="n">
        <v>13</v>
      </c>
      <c r="AE859" t="n">
        <v>13</v>
      </c>
      <c r="AF859" t="n">
        <v>5</v>
      </c>
      <c r="AG859" t="n">
        <v>5</v>
      </c>
      <c r="AH859" t="n">
        <v>2</v>
      </c>
      <c r="AI859" t="n">
        <v>2</v>
      </c>
      <c r="AJ859" t="n">
        <v>5</v>
      </c>
      <c r="AK859" t="n">
        <v>5</v>
      </c>
      <c r="AL859" t="n">
        <v>2</v>
      </c>
      <c r="AM859" t="n">
        <v>2</v>
      </c>
      <c r="AN859" t="n">
        <v>2</v>
      </c>
      <c r="AO859" t="n">
        <v>2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HYPERLINK("http://catalog.hathitrust.org/Record/004349845","HathiTrust Record")</f>
        <v/>
      </c>
      <c r="AS859">
        <f>HYPERLINK("https://creighton-primo.hosted.exlibrisgroup.com/primo-explore/search?tab=default_tab&amp;search_scope=EVERYTHING&amp;vid=01CRU&amp;lang=en_US&amp;offset=0&amp;query=any,contains,991004364299702656","Catalog Record")</f>
        <v/>
      </c>
      <c r="AT859">
        <f>HYPERLINK("http://www.worldcat.org/oclc/52430910","WorldCat Record")</f>
        <v/>
      </c>
      <c r="AU859" t="inlineStr">
        <is>
          <t>842788485:eng</t>
        </is>
      </c>
      <c r="AV859" t="inlineStr">
        <is>
          <t>52430910</t>
        </is>
      </c>
      <c r="AW859" t="inlineStr">
        <is>
          <t>991004364299702656</t>
        </is>
      </c>
      <c r="AX859" t="inlineStr">
        <is>
          <t>991004364299702656</t>
        </is>
      </c>
      <c r="AY859" t="inlineStr">
        <is>
          <t>2268926640002656</t>
        </is>
      </c>
      <c r="AZ859" t="inlineStr">
        <is>
          <t>BOOK</t>
        </is>
      </c>
      <c r="BB859" t="inlineStr">
        <is>
          <t>9780761929420</t>
        </is>
      </c>
      <c r="BC859" t="inlineStr">
        <is>
          <t>32285004989710</t>
        </is>
      </c>
      <c r="BD859" t="inlineStr">
        <is>
          <t>893869630</t>
        </is>
      </c>
    </row>
    <row r="860">
      <c r="A860" t="inlineStr">
        <is>
          <t>No</t>
        </is>
      </c>
      <c r="B860" t="inlineStr">
        <is>
          <t>HV6773.52 .H367 2007</t>
        </is>
      </c>
      <c r="C860" t="inlineStr">
        <is>
          <t>0                      HV 6773520H  367         2007</t>
        </is>
      </c>
      <c r="D860" t="inlineStr">
        <is>
          <t>Hate crimes / Laurie Willis, book editor.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L860" t="inlineStr">
        <is>
          <t>Detroit : Greenhaven Press, c2007.</t>
        </is>
      </c>
      <c r="M860" t="inlineStr">
        <is>
          <t>2007</t>
        </is>
      </c>
      <c r="O860" t="inlineStr">
        <is>
          <t>eng</t>
        </is>
      </c>
      <c r="P860" t="inlineStr">
        <is>
          <t>miu</t>
        </is>
      </c>
      <c r="Q860" t="inlineStr">
        <is>
          <t>Social issues firsthand</t>
        </is>
      </c>
      <c r="R860" t="inlineStr">
        <is>
          <t xml:space="preserve">HV </t>
        </is>
      </c>
      <c r="S860" t="n">
        <v>1</v>
      </c>
      <c r="T860" t="n">
        <v>1</v>
      </c>
      <c r="U860" t="inlineStr">
        <is>
          <t>2008-01-14</t>
        </is>
      </c>
      <c r="V860" t="inlineStr">
        <is>
          <t>2008-01-14</t>
        </is>
      </c>
      <c r="W860" t="inlineStr">
        <is>
          <t>2008-01-14</t>
        </is>
      </c>
      <c r="X860" t="inlineStr">
        <is>
          <t>2008-01-14</t>
        </is>
      </c>
      <c r="Y860" t="n">
        <v>354</v>
      </c>
      <c r="Z860" t="n">
        <v>332</v>
      </c>
      <c r="AA860" t="n">
        <v>333</v>
      </c>
      <c r="AB860" t="n">
        <v>3</v>
      </c>
      <c r="AC860" t="n">
        <v>3</v>
      </c>
      <c r="AD860" t="n">
        <v>2</v>
      </c>
      <c r="AE860" t="n">
        <v>2</v>
      </c>
      <c r="AF860" t="n">
        <v>2</v>
      </c>
      <c r="AG860" t="n">
        <v>2</v>
      </c>
      <c r="AH860" t="n">
        <v>1</v>
      </c>
      <c r="AI860" t="n">
        <v>1</v>
      </c>
      <c r="AJ860" t="n">
        <v>0</v>
      </c>
      <c r="AK860" t="n">
        <v>0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HYPERLINK("http://catalog.hathitrust.org/Record/007059106","HathiTrust Record")</f>
        <v/>
      </c>
      <c r="AS860">
        <f>HYPERLINK("https://creighton-primo.hosted.exlibrisgroup.com/primo-explore/search?tab=default_tab&amp;search_scope=EVERYTHING&amp;vid=01CRU&amp;lang=en_US&amp;offset=0&amp;query=any,contains,991005166739702656","Catalog Record")</f>
        <v/>
      </c>
      <c r="AT860">
        <f>HYPERLINK("http://www.worldcat.org/oclc/71275453","WorldCat Record")</f>
        <v/>
      </c>
      <c r="AU860" t="inlineStr">
        <is>
          <t>58235689:eng</t>
        </is>
      </c>
      <c r="AV860" t="inlineStr">
        <is>
          <t>71275453</t>
        </is>
      </c>
      <c r="AW860" t="inlineStr">
        <is>
          <t>991005166739702656</t>
        </is>
      </c>
      <c r="AX860" t="inlineStr">
        <is>
          <t>991005166739702656</t>
        </is>
      </c>
      <c r="AY860" t="inlineStr">
        <is>
          <t>2272714720002656</t>
        </is>
      </c>
      <c r="AZ860" t="inlineStr">
        <is>
          <t>BOOK</t>
        </is>
      </c>
      <c r="BB860" t="inlineStr">
        <is>
          <t>9780737728897</t>
        </is>
      </c>
      <c r="BC860" t="inlineStr">
        <is>
          <t>32285005377493</t>
        </is>
      </c>
      <c r="BD860" t="inlineStr">
        <is>
          <t>893418488</t>
        </is>
      </c>
    </row>
    <row r="861">
      <c r="A861" t="inlineStr">
        <is>
          <t>No</t>
        </is>
      </c>
      <c r="B861" t="inlineStr">
        <is>
          <t>HV6777 .T9</t>
        </is>
      </c>
      <c r="C861" t="inlineStr">
        <is>
          <t>0                      HV 6777000T  9</t>
        </is>
      </c>
      <c r="D861" t="inlineStr">
        <is>
          <t>Organized crime in America : a book of readings / introd. by Estes Kefauver.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Tyler, Gus, editor.</t>
        </is>
      </c>
      <c r="L861" t="inlineStr">
        <is>
          <t>Ann Arbor : University of Michigan Press, [1962]</t>
        </is>
      </c>
      <c r="M861" t="inlineStr">
        <is>
          <t>1962</t>
        </is>
      </c>
      <c r="O861" t="inlineStr">
        <is>
          <t>eng</t>
        </is>
      </c>
      <c r="P861" t="inlineStr">
        <is>
          <t>miu</t>
        </is>
      </c>
      <c r="R861" t="inlineStr">
        <is>
          <t xml:space="preserve">HV </t>
        </is>
      </c>
      <c r="S861" t="n">
        <v>4</v>
      </c>
      <c r="T861" t="n">
        <v>4</v>
      </c>
      <c r="U861" t="inlineStr">
        <is>
          <t>1999-01-24</t>
        </is>
      </c>
      <c r="V861" t="inlineStr">
        <is>
          <t>1999-01-24</t>
        </is>
      </c>
      <c r="W861" t="inlineStr">
        <is>
          <t>1994-02-17</t>
        </is>
      </c>
      <c r="X861" t="inlineStr">
        <is>
          <t>1994-02-17</t>
        </is>
      </c>
      <c r="Y861" t="n">
        <v>935</v>
      </c>
      <c r="Z861" t="n">
        <v>828</v>
      </c>
      <c r="AA861" t="n">
        <v>914</v>
      </c>
      <c r="AB861" t="n">
        <v>7</v>
      </c>
      <c r="AC861" t="n">
        <v>8</v>
      </c>
      <c r="AD861" t="n">
        <v>32</v>
      </c>
      <c r="AE861" t="n">
        <v>35</v>
      </c>
      <c r="AF861" t="n">
        <v>12</v>
      </c>
      <c r="AG861" t="n">
        <v>12</v>
      </c>
      <c r="AH861" t="n">
        <v>6</v>
      </c>
      <c r="AI861" t="n">
        <v>7</v>
      </c>
      <c r="AJ861" t="n">
        <v>11</v>
      </c>
      <c r="AK861" t="n">
        <v>13</v>
      </c>
      <c r="AL861" t="n">
        <v>5</v>
      </c>
      <c r="AM861" t="n">
        <v>6</v>
      </c>
      <c r="AN861" t="n">
        <v>3</v>
      </c>
      <c r="AO861" t="n">
        <v>3</v>
      </c>
      <c r="AP861" t="inlineStr">
        <is>
          <t>No</t>
        </is>
      </c>
      <c r="AQ861" t="inlineStr">
        <is>
          <t>No</t>
        </is>
      </c>
      <c r="AR861">
        <f>HYPERLINK("http://catalog.hathitrust.org/Record/001120390","HathiTrust Record")</f>
        <v/>
      </c>
      <c r="AS861">
        <f>HYPERLINK("https://creighton-primo.hosted.exlibrisgroup.com/primo-explore/search?tab=default_tab&amp;search_scope=EVERYTHING&amp;vid=01CRU&amp;lang=en_US&amp;offset=0&amp;query=any,contains,991002082999702656","Catalog Record")</f>
        <v/>
      </c>
      <c r="AT861">
        <f>HYPERLINK("http://www.worldcat.org/oclc/265012","WorldCat Record")</f>
        <v/>
      </c>
      <c r="AU861" t="inlineStr">
        <is>
          <t>1381226:eng</t>
        </is>
      </c>
      <c r="AV861" t="inlineStr">
        <is>
          <t>265012</t>
        </is>
      </c>
      <c r="AW861" t="inlineStr">
        <is>
          <t>991002082999702656</t>
        </is>
      </c>
      <c r="AX861" t="inlineStr">
        <is>
          <t>991002082999702656</t>
        </is>
      </c>
      <c r="AY861" t="inlineStr">
        <is>
          <t>2265224890002656</t>
        </is>
      </c>
      <c r="AZ861" t="inlineStr">
        <is>
          <t>BOOK</t>
        </is>
      </c>
      <c r="BC861" t="inlineStr">
        <is>
          <t>32285001839199</t>
        </is>
      </c>
      <c r="BD861" t="inlineStr">
        <is>
          <t>893529517</t>
        </is>
      </c>
    </row>
    <row r="862">
      <c r="A862" t="inlineStr">
        <is>
          <t>No</t>
        </is>
      </c>
      <c r="B862" t="inlineStr">
        <is>
          <t>HV6789 .C47</t>
        </is>
      </c>
      <c r="C862" t="inlineStr">
        <is>
          <t>0                      HV 6789000C  47</t>
        </is>
      </c>
      <c r="D862" t="inlineStr">
        <is>
          <t>Crime in America : observations on its nature, causes, prevention, and control / with an introd. by Tom Wicker.</t>
        </is>
      </c>
      <c r="F862" t="inlineStr">
        <is>
          <t>No</t>
        </is>
      </c>
      <c r="G862" t="inlineStr">
        <is>
          <t>1</t>
        </is>
      </c>
      <c r="H862" t="inlineStr">
        <is>
          <t>Yes</t>
        </is>
      </c>
      <c r="I862" t="inlineStr">
        <is>
          <t>No</t>
        </is>
      </c>
      <c r="J862" t="inlineStr">
        <is>
          <t>0</t>
        </is>
      </c>
      <c r="K862" t="inlineStr">
        <is>
          <t>Clark, Ramsey, 1927-</t>
        </is>
      </c>
      <c r="L862" t="inlineStr">
        <is>
          <t>New York : Simon and Schuster, [1970]</t>
        </is>
      </c>
      <c r="M862" t="inlineStr">
        <is>
          <t>1970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HV </t>
        </is>
      </c>
      <c r="S862" t="n">
        <v>5</v>
      </c>
      <c r="T862" t="n">
        <v>5</v>
      </c>
      <c r="U862" t="inlineStr">
        <is>
          <t>2007-10-24</t>
        </is>
      </c>
      <c r="V862" t="inlineStr">
        <is>
          <t>2007-10-24</t>
        </is>
      </c>
      <c r="W862" t="inlineStr">
        <is>
          <t>1990-04-25</t>
        </is>
      </c>
      <c r="X862" t="inlineStr">
        <is>
          <t>1991-08-15</t>
        </is>
      </c>
      <c r="Y862" t="n">
        <v>1644</v>
      </c>
      <c r="Z862" t="n">
        <v>1532</v>
      </c>
      <c r="AA862" t="n">
        <v>1633</v>
      </c>
      <c r="AB862" t="n">
        <v>14</v>
      </c>
      <c r="AC862" t="n">
        <v>15</v>
      </c>
      <c r="AD862" t="n">
        <v>68</v>
      </c>
      <c r="AE862" t="n">
        <v>73</v>
      </c>
      <c r="AF862" t="n">
        <v>23</v>
      </c>
      <c r="AG862" t="n">
        <v>24</v>
      </c>
      <c r="AH862" t="n">
        <v>9</v>
      </c>
      <c r="AI862" t="n">
        <v>9</v>
      </c>
      <c r="AJ862" t="n">
        <v>22</v>
      </c>
      <c r="AK862" t="n">
        <v>22</v>
      </c>
      <c r="AL862" t="n">
        <v>7</v>
      </c>
      <c r="AM862" t="n">
        <v>8</v>
      </c>
      <c r="AN862" t="n">
        <v>19</v>
      </c>
      <c r="AO862" t="n">
        <v>22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HYPERLINK("http://catalog.hathitrust.org/Record/001134598","HathiTrust Record")</f>
        <v/>
      </c>
      <c r="AS862">
        <f>HYPERLINK("https://creighton-primo.hosted.exlibrisgroup.com/primo-explore/search?tab=default_tab&amp;search_scope=EVERYTHING&amp;vid=01CRU&amp;lang=en_US&amp;offset=0&amp;query=any,contains,991001706229702656","Catalog Record")</f>
        <v/>
      </c>
      <c r="AT862">
        <f>HYPERLINK("http://www.worldcat.org/oclc/102206","WorldCat Record")</f>
        <v/>
      </c>
      <c r="AU862" t="inlineStr">
        <is>
          <t>1174249:eng</t>
        </is>
      </c>
      <c r="AV862" t="inlineStr">
        <is>
          <t>102206</t>
        </is>
      </c>
      <c r="AW862" t="inlineStr">
        <is>
          <t>991001706229702656</t>
        </is>
      </c>
      <c r="AX862" t="inlineStr">
        <is>
          <t>991001706229702656</t>
        </is>
      </c>
      <c r="AY862" t="inlineStr">
        <is>
          <t>2261856140002656</t>
        </is>
      </c>
      <c r="AZ862" t="inlineStr">
        <is>
          <t>BOOK</t>
        </is>
      </c>
      <c r="BB862" t="inlineStr">
        <is>
          <t>9780671204075</t>
        </is>
      </c>
      <c r="BC862" t="inlineStr">
        <is>
          <t>32285000119049</t>
        </is>
      </c>
      <c r="BD862" t="inlineStr">
        <is>
          <t>893703262</t>
        </is>
      </c>
    </row>
    <row r="863">
      <c r="A863" t="inlineStr">
        <is>
          <t>No</t>
        </is>
      </c>
      <c r="B863" t="inlineStr">
        <is>
          <t>HV6789 .C6</t>
        </is>
      </c>
      <c r="C863" t="inlineStr">
        <is>
          <t>0                      HV 6789000C  6</t>
        </is>
      </c>
      <c r="D863" t="inlineStr">
        <is>
          <t>Crime in America : perspectives on criminal and delinquent behavior / edited by Bruce J. Cohen.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Cohen, Bruce J., 1938-, compiler.</t>
        </is>
      </c>
      <c r="L863" t="inlineStr">
        <is>
          <t>Itasca, Ill. : F. E. Peacock, [1970]</t>
        </is>
      </c>
      <c r="M863" t="inlineStr">
        <is>
          <t>1970</t>
        </is>
      </c>
      <c r="O863" t="inlineStr">
        <is>
          <t>eng</t>
        </is>
      </c>
      <c r="P863" t="inlineStr">
        <is>
          <t>ilu</t>
        </is>
      </c>
      <c r="R863" t="inlineStr">
        <is>
          <t xml:space="preserve">HV </t>
        </is>
      </c>
      <c r="S863" t="n">
        <v>4</v>
      </c>
      <c r="T863" t="n">
        <v>4</v>
      </c>
      <c r="U863" t="inlineStr">
        <is>
          <t>1997-02-10</t>
        </is>
      </c>
      <c r="V863" t="inlineStr">
        <is>
          <t>1997-02-10</t>
        </is>
      </c>
      <c r="W863" t="inlineStr">
        <is>
          <t>1992-03-19</t>
        </is>
      </c>
      <c r="X863" t="inlineStr">
        <is>
          <t>1992-03-19</t>
        </is>
      </c>
      <c r="Y863" t="n">
        <v>337</v>
      </c>
      <c r="Z863" t="n">
        <v>289</v>
      </c>
      <c r="AA863" t="n">
        <v>455</v>
      </c>
      <c r="AB863" t="n">
        <v>4</v>
      </c>
      <c r="AC863" t="n">
        <v>5</v>
      </c>
      <c r="AD863" t="n">
        <v>20</v>
      </c>
      <c r="AE863" t="n">
        <v>25</v>
      </c>
      <c r="AF863" t="n">
        <v>5</v>
      </c>
      <c r="AG863" t="n">
        <v>6</v>
      </c>
      <c r="AH863" t="n">
        <v>6</v>
      </c>
      <c r="AI863" t="n">
        <v>6</v>
      </c>
      <c r="AJ863" t="n">
        <v>5</v>
      </c>
      <c r="AK863" t="n">
        <v>6</v>
      </c>
      <c r="AL863" t="n">
        <v>2</v>
      </c>
      <c r="AM863" t="n">
        <v>3</v>
      </c>
      <c r="AN863" t="n">
        <v>5</v>
      </c>
      <c r="AO863" t="n">
        <v>7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HYPERLINK("https://creighton-primo.hosted.exlibrisgroup.com/primo-explore/search?tab=default_tab&amp;search_scope=EVERYTHING&amp;vid=01CRU&amp;lang=en_US&amp;offset=0&amp;query=any,contains,991000640939702656","Catalog Record")</f>
        <v/>
      </c>
      <c r="AT863">
        <f>HYPERLINK("http://www.worldcat.org/oclc/109679","WorldCat Record")</f>
        <v/>
      </c>
      <c r="AU863" t="inlineStr">
        <is>
          <t>324700037:eng</t>
        </is>
      </c>
      <c r="AV863" t="inlineStr">
        <is>
          <t>109679</t>
        </is>
      </c>
      <c r="AW863" t="inlineStr">
        <is>
          <t>991000640939702656</t>
        </is>
      </c>
      <c r="AX863" t="inlineStr">
        <is>
          <t>991000640939702656</t>
        </is>
      </c>
      <c r="AY863" t="inlineStr">
        <is>
          <t>2254708790002656</t>
        </is>
      </c>
      <c r="AZ863" t="inlineStr">
        <is>
          <t>BOOK</t>
        </is>
      </c>
      <c r="BC863" t="inlineStr">
        <is>
          <t>32285001024461</t>
        </is>
      </c>
      <c r="BD863" t="inlineStr">
        <is>
          <t>893683615</t>
        </is>
      </c>
    </row>
    <row r="864">
      <c r="A864" t="inlineStr">
        <is>
          <t>No</t>
        </is>
      </c>
      <c r="B864" t="inlineStr">
        <is>
          <t>HV6789 .C73 1982</t>
        </is>
      </c>
      <c r="C864" t="inlineStr">
        <is>
          <t>0                      HV 6789000C  73          1982</t>
        </is>
      </c>
      <c r="D864" t="inlineStr">
        <is>
          <t>Criminal violence / edited by Marvin E. Wolfgang, Neil Alan Weiner ; Philip J. Cook ... [et al.].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L864" t="inlineStr">
        <is>
          <t>Beverly Hills, Calif. : Sage Publications, c1982.</t>
        </is>
      </c>
      <c r="M864" t="inlineStr">
        <is>
          <t>1982</t>
        </is>
      </c>
      <c r="O864" t="inlineStr">
        <is>
          <t>eng</t>
        </is>
      </c>
      <c r="P864" t="inlineStr">
        <is>
          <t>cau</t>
        </is>
      </c>
      <c r="R864" t="inlineStr">
        <is>
          <t xml:space="preserve">HV </t>
        </is>
      </c>
      <c r="S864" t="n">
        <v>10</v>
      </c>
      <c r="T864" t="n">
        <v>10</v>
      </c>
      <c r="U864" t="inlineStr">
        <is>
          <t>2005-04-13</t>
        </is>
      </c>
      <c r="V864" t="inlineStr">
        <is>
          <t>2005-04-13</t>
        </is>
      </c>
      <c r="W864" t="inlineStr">
        <is>
          <t>1992-07-14</t>
        </is>
      </c>
      <c r="X864" t="inlineStr">
        <is>
          <t>1992-07-14</t>
        </is>
      </c>
      <c r="Y864" t="n">
        <v>534</v>
      </c>
      <c r="Z864" t="n">
        <v>425</v>
      </c>
      <c r="AA864" t="n">
        <v>432</v>
      </c>
      <c r="AB864" t="n">
        <v>5</v>
      </c>
      <c r="AC864" t="n">
        <v>5</v>
      </c>
      <c r="AD864" t="n">
        <v>25</v>
      </c>
      <c r="AE864" t="n">
        <v>25</v>
      </c>
      <c r="AF864" t="n">
        <v>9</v>
      </c>
      <c r="AG864" t="n">
        <v>9</v>
      </c>
      <c r="AH864" t="n">
        <v>5</v>
      </c>
      <c r="AI864" t="n">
        <v>5</v>
      </c>
      <c r="AJ864" t="n">
        <v>13</v>
      </c>
      <c r="AK864" t="n">
        <v>13</v>
      </c>
      <c r="AL864" t="n">
        <v>4</v>
      </c>
      <c r="AM864" t="n">
        <v>4</v>
      </c>
      <c r="AN864" t="n">
        <v>2</v>
      </c>
      <c r="AO864" t="n">
        <v>2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HYPERLINK("https://creighton-primo.hosted.exlibrisgroup.com/primo-explore/search?tab=default_tab&amp;search_scope=EVERYTHING&amp;vid=01CRU&amp;lang=en_US&amp;offset=0&amp;query=any,contains,991005207789702656","Catalog Record")</f>
        <v/>
      </c>
      <c r="AT864">
        <f>HYPERLINK("http://www.worldcat.org/oclc/8132543","WorldCat Record")</f>
        <v/>
      </c>
      <c r="AU864" t="inlineStr">
        <is>
          <t>3943668914:eng</t>
        </is>
      </c>
      <c r="AV864" t="inlineStr">
        <is>
          <t>8132543</t>
        </is>
      </c>
      <c r="AW864" t="inlineStr">
        <is>
          <t>991005207789702656</t>
        </is>
      </c>
      <c r="AX864" t="inlineStr">
        <is>
          <t>991005207789702656</t>
        </is>
      </c>
      <c r="AY864" t="inlineStr">
        <is>
          <t>2267828670002656</t>
        </is>
      </c>
      <c r="AZ864" t="inlineStr">
        <is>
          <t>BOOK</t>
        </is>
      </c>
      <c r="BB864" t="inlineStr">
        <is>
          <t>9780803918009</t>
        </is>
      </c>
      <c r="BC864" t="inlineStr">
        <is>
          <t>32285001181972</t>
        </is>
      </c>
      <c r="BD864" t="inlineStr">
        <is>
          <t>893905301</t>
        </is>
      </c>
    </row>
    <row r="865">
      <c r="A865" t="inlineStr">
        <is>
          <t>No</t>
        </is>
      </c>
      <c r="B865" t="inlineStr">
        <is>
          <t>HV6789 .M38 1987</t>
        </is>
      </c>
      <c r="C865" t="inlineStr">
        <is>
          <t>0                      HV 6789000M  38          1987</t>
        </is>
      </c>
      <c r="D865" t="inlineStr">
        <is>
          <t>Crime in American society / Charles H. McCaghy, Stephen A. Cernkovich.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McCaghy, Charles H.</t>
        </is>
      </c>
      <c r="L865" t="inlineStr">
        <is>
          <t>New York : Macmillan, c1987.</t>
        </is>
      </c>
      <c r="M865" t="inlineStr">
        <is>
          <t>1987</t>
        </is>
      </c>
      <c r="N865" t="inlineStr">
        <is>
          <t>2nd ed.</t>
        </is>
      </c>
      <c r="O865" t="inlineStr">
        <is>
          <t>eng</t>
        </is>
      </c>
      <c r="P865" t="inlineStr">
        <is>
          <t>nyu</t>
        </is>
      </c>
      <c r="R865" t="inlineStr">
        <is>
          <t xml:space="preserve">HV </t>
        </is>
      </c>
      <c r="S865" t="n">
        <v>15</v>
      </c>
      <c r="T865" t="n">
        <v>15</v>
      </c>
      <c r="U865" t="inlineStr">
        <is>
          <t>1999-09-28</t>
        </is>
      </c>
      <c r="V865" t="inlineStr">
        <is>
          <t>1999-09-28</t>
        </is>
      </c>
      <c r="W865" t="inlineStr">
        <is>
          <t>1992-04-13</t>
        </is>
      </c>
      <c r="X865" t="inlineStr">
        <is>
          <t>1992-04-13</t>
        </is>
      </c>
      <c r="Y865" t="n">
        <v>144</v>
      </c>
      <c r="Z865" t="n">
        <v>119</v>
      </c>
      <c r="AA865" t="n">
        <v>284</v>
      </c>
      <c r="AB865" t="n">
        <v>1</v>
      </c>
      <c r="AC865" t="n">
        <v>3</v>
      </c>
      <c r="AD865" t="n">
        <v>4</v>
      </c>
      <c r="AE865" t="n">
        <v>12</v>
      </c>
      <c r="AF865" t="n">
        <v>0</v>
      </c>
      <c r="AG865" t="n">
        <v>3</v>
      </c>
      <c r="AH865" t="n">
        <v>1</v>
      </c>
      <c r="AI865" t="n">
        <v>1</v>
      </c>
      <c r="AJ865" t="n">
        <v>1</v>
      </c>
      <c r="AK865" t="n">
        <v>3</v>
      </c>
      <c r="AL865" t="n">
        <v>0</v>
      </c>
      <c r="AM865" t="n">
        <v>1</v>
      </c>
      <c r="AN865" t="n">
        <v>3</v>
      </c>
      <c r="AO865" t="n">
        <v>5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HYPERLINK("http://catalog.hathitrust.org/Record/002995540","HathiTrust Record")</f>
        <v/>
      </c>
      <c r="AS865">
        <f>HYPERLINK("https://creighton-primo.hosted.exlibrisgroup.com/primo-explore/search?tab=default_tab&amp;search_scope=EVERYTHING&amp;vid=01CRU&amp;lang=en_US&amp;offset=0&amp;query=any,contains,991000952269702656","Catalog Record")</f>
        <v/>
      </c>
      <c r="AT865">
        <f>HYPERLINK("http://www.worldcat.org/oclc/14691961","WorldCat Record")</f>
        <v/>
      </c>
      <c r="AU865" t="inlineStr">
        <is>
          <t>9057558:eng</t>
        </is>
      </c>
      <c r="AV865" t="inlineStr">
        <is>
          <t>14691961</t>
        </is>
      </c>
      <c r="AW865" t="inlineStr">
        <is>
          <t>991000952269702656</t>
        </is>
      </c>
      <c r="AX865" t="inlineStr">
        <is>
          <t>991000952269702656</t>
        </is>
      </c>
      <c r="AY865" t="inlineStr">
        <is>
          <t>2254782020002656</t>
        </is>
      </c>
      <c r="AZ865" t="inlineStr">
        <is>
          <t>BOOK</t>
        </is>
      </c>
      <c r="BB865" t="inlineStr">
        <is>
          <t>9780023783401</t>
        </is>
      </c>
      <c r="BC865" t="inlineStr">
        <is>
          <t>32285001035079</t>
        </is>
      </c>
      <c r="BD865" t="inlineStr">
        <is>
          <t>893614646</t>
        </is>
      </c>
    </row>
    <row r="866">
      <c r="A866" t="inlineStr">
        <is>
          <t>No</t>
        </is>
      </c>
      <c r="B866" t="inlineStr">
        <is>
          <t>HV6789 .V56 1994</t>
        </is>
      </c>
      <c r="C866" t="inlineStr">
        <is>
          <t>0                      HV 6789000V  56          1994</t>
        </is>
      </c>
      <c r="D866" t="inlineStr">
        <is>
          <t>Violence and the law / Mark Costanzo, Stuart Oskamp, editors.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L866" t="inlineStr">
        <is>
          <t>Thousand Oaks, Calif. : Sage Publications, c1994.</t>
        </is>
      </c>
      <c r="M866" t="inlineStr">
        <is>
          <t>1994</t>
        </is>
      </c>
      <c r="O866" t="inlineStr">
        <is>
          <t>eng</t>
        </is>
      </c>
      <c r="P866" t="inlineStr">
        <is>
          <t>cau</t>
        </is>
      </c>
      <c r="R866" t="inlineStr">
        <is>
          <t xml:space="preserve">HV </t>
        </is>
      </c>
      <c r="S866" t="n">
        <v>20</v>
      </c>
      <c r="T866" t="n">
        <v>20</v>
      </c>
      <c r="U866" t="inlineStr">
        <is>
          <t>2007-12-02</t>
        </is>
      </c>
      <c r="V866" t="inlineStr">
        <is>
          <t>2007-12-02</t>
        </is>
      </c>
      <c r="W866" t="inlineStr">
        <is>
          <t>1996-05-28</t>
        </is>
      </c>
      <c r="X866" t="inlineStr">
        <is>
          <t>1996-05-28</t>
        </is>
      </c>
      <c r="Y866" t="n">
        <v>375</v>
      </c>
      <c r="Z866" t="n">
        <v>283</v>
      </c>
      <c r="AA866" t="n">
        <v>285</v>
      </c>
      <c r="AB866" t="n">
        <v>4</v>
      </c>
      <c r="AC866" t="n">
        <v>4</v>
      </c>
      <c r="AD866" t="n">
        <v>17</v>
      </c>
      <c r="AE866" t="n">
        <v>17</v>
      </c>
      <c r="AF866" t="n">
        <v>4</v>
      </c>
      <c r="AG866" t="n">
        <v>4</v>
      </c>
      <c r="AH866" t="n">
        <v>4</v>
      </c>
      <c r="AI866" t="n">
        <v>4</v>
      </c>
      <c r="AJ866" t="n">
        <v>5</v>
      </c>
      <c r="AK866" t="n">
        <v>5</v>
      </c>
      <c r="AL866" t="n">
        <v>3</v>
      </c>
      <c r="AM866" t="n">
        <v>3</v>
      </c>
      <c r="AN866" t="n">
        <v>4</v>
      </c>
      <c r="AO866" t="n">
        <v>4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HYPERLINK("http://catalog.hathitrust.org/Record/002906992","HathiTrust Record")</f>
        <v/>
      </c>
      <c r="AS866">
        <f>HYPERLINK("https://creighton-primo.hosted.exlibrisgroup.com/primo-explore/search?tab=default_tab&amp;search_scope=EVERYTHING&amp;vid=01CRU&amp;lang=en_US&amp;offset=0&amp;query=any,contains,991002346519702656","Catalog Record")</f>
        <v/>
      </c>
      <c r="AT866">
        <f>HYPERLINK("http://www.worldcat.org/oclc/30545826","WorldCat Record")</f>
        <v/>
      </c>
      <c r="AU866" t="inlineStr">
        <is>
          <t>478940304:eng</t>
        </is>
      </c>
      <c r="AV866" t="inlineStr">
        <is>
          <t>30545826</t>
        </is>
      </c>
      <c r="AW866" t="inlineStr">
        <is>
          <t>991002346519702656</t>
        </is>
      </c>
      <c r="AX866" t="inlineStr">
        <is>
          <t>991002346519702656</t>
        </is>
      </c>
      <c r="AY866" t="inlineStr">
        <is>
          <t>2258343240002656</t>
        </is>
      </c>
      <c r="AZ866" t="inlineStr">
        <is>
          <t>BOOK</t>
        </is>
      </c>
      <c r="BB866" t="inlineStr">
        <is>
          <t>9780803953413</t>
        </is>
      </c>
      <c r="BC866" t="inlineStr">
        <is>
          <t>32285002178175</t>
        </is>
      </c>
      <c r="BD866" t="inlineStr">
        <is>
          <t>893433766</t>
        </is>
      </c>
    </row>
    <row r="867">
      <c r="A867" t="inlineStr">
        <is>
          <t>No</t>
        </is>
      </c>
      <c r="B867" t="inlineStr">
        <is>
          <t>HV6789 .W313 2006</t>
        </is>
      </c>
      <c r="C867" t="inlineStr">
        <is>
          <t>0                      HV 6789000W  313         2006</t>
        </is>
      </c>
      <c r="D867" t="inlineStr">
        <is>
          <t>Less law, more order : the truth about reducing crime / Irvin Waller.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Waller, Irvin.</t>
        </is>
      </c>
      <c r="L867" t="inlineStr">
        <is>
          <t>Westport, Conn. : Praeger Publishers, 2006.</t>
        </is>
      </c>
      <c r="M867" t="inlineStr">
        <is>
          <t>2006</t>
        </is>
      </c>
      <c r="O867" t="inlineStr">
        <is>
          <t>eng</t>
        </is>
      </c>
      <c r="P867" t="inlineStr">
        <is>
          <t>ctu</t>
        </is>
      </c>
      <c r="R867" t="inlineStr">
        <is>
          <t xml:space="preserve">HV </t>
        </is>
      </c>
      <c r="S867" t="n">
        <v>2</v>
      </c>
      <c r="T867" t="n">
        <v>2</v>
      </c>
      <c r="U867" t="inlineStr">
        <is>
          <t>2009-09-27</t>
        </is>
      </c>
      <c r="V867" t="inlineStr">
        <is>
          <t>2009-09-27</t>
        </is>
      </c>
      <c r="W867" t="inlineStr">
        <is>
          <t>2007-12-04</t>
        </is>
      </c>
      <c r="X867" t="inlineStr">
        <is>
          <t>2007-12-04</t>
        </is>
      </c>
      <c r="Y867" t="n">
        <v>756</v>
      </c>
      <c r="Z867" t="n">
        <v>666</v>
      </c>
      <c r="AA867" t="n">
        <v>999</v>
      </c>
      <c r="AB867" t="n">
        <v>9</v>
      </c>
      <c r="AC867" t="n">
        <v>10</v>
      </c>
      <c r="AD867" t="n">
        <v>29</v>
      </c>
      <c r="AE867" t="n">
        <v>31</v>
      </c>
      <c r="AF867" t="n">
        <v>11</v>
      </c>
      <c r="AG867" t="n">
        <v>11</v>
      </c>
      <c r="AH867" t="n">
        <v>4</v>
      </c>
      <c r="AI867" t="n">
        <v>4</v>
      </c>
      <c r="AJ867" t="n">
        <v>11</v>
      </c>
      <c r="AK867" t="n">
        <v>12</v>
      </c>
      <c r="AL867" t="n">
        <v>8</v>
      </c>
      <c r="AM867" t="n">
        <v>9</v>
      </c>
      <c r="AN867" t="n">
        <v>2</v>
      </c>
      <c r="AO867" t="n">
        <v>2</v>
      </c>
      <c r="AP867" t="inlineStr">
        <is>
          <t>No</t>
        </is>
      </c>
      <c r="AQ867" t="inlineStr">
        <is>
          <t>No</t>
        </is>
      </c>
      <c r="AS867">
        <f>HYPERLINK("https://creighton-primo.hosted.exlibrisgroup.com/primo-explore/search?tab=default_tab&amp;search_scope=EVERYTHING&amp;vid=01CRU&amp;lang=en_US&amp;offset=0&amp;query=any,contains,991005135449702656","Catalog Record")</f>
        <v/>
      </c>
      <c r="AT867">
        <f>HYPERLINK("http://www.worldcat.org/oclc/68786754","WorldCat Record")</f>
        <v/>
      </c>
      <c r="AU867" t="inlineStr">
        <is>
          <t>797241461:eng</t>
        </is>
      </c>
      <c r="AV867" t="inlineStr">
        <is>
          <t>68786754</t>
        </is>
      </c>
      <c r="AW867" t="inlineStr">
        <is>
          <t>991005135449702656</t>
        </is>
      </c>
      <c r="AX867" t="inlineStr">
        <is>
          <t>991005135449702656</t>
        </is>
      </c>
      <c r="AY867" t="inlineStr">
        <is>
          <t>2262444240002656</t>
        </is>
      </c>
      <c r="AZ867" t="inlineStr">
        <is>
          <t>BOOK</t>
        </is>
      </c>
      <c r="BB867" t="inlineStr">
        <is>
          <t>9780275990770</t>
        </is>
      </c>
      <c r="BC867" t="inlineStr">
        <is>
          <t>32285005369615</t>
        </is>
      </c>
      <c r="BD867" t="inlineStr">
        <is>
          <t>893344700</t>
        </is>
      </c>
    </row>
    <row r="868">
      <c r="A868" t="inlineStr">
        <is>
          <t>No</t>
        </is>
      </c>
      <c r="B868" t="inlineStr">
        <is>
          <t>HV6791 .B46</t>
        </is>
      </c>
      <c r="C868" t="inlineStr">
        <is>
          <t>0                      HV 6791000B  46</t>
        </is>
      </c>
      <c r="D868" t="inlineStr">
        <is>
          <t>White-collar crime : a 20th-century crisis / August Bequai. --</t>
        </is>
      </c>
      <c r="F868" t="inlineStr">
        <is>
          <t>No</t>
        </is>
      </c>
      <c r="G868" t="inlineStr">
        <is>
          <t>1</t>
        </is>
      </c>
      <c r="H868" t="inlineStr">
        <is>
          <t>Yes</t>
        </is>
      </c>
      <c r="I868" t="inlineStr">
        <is>
          <t>No</t>
        </is>
      </c>
      <c r="J868" t="inlineStr">
        <is>
          <t>0</t>
        </is>
      </c>
      <c r="K868" t="inlineStr">
        <is>
          <t>Bequai, August.</t>
        </is>
      </c>
      <c r="L868" t="inlineStr">
        <is>
          <t>Lexington, Mass. : Lexington Books, c1978.</t>
        </is>
      </c>
      <c r="M868" t="inlineStr">
        <is>
          <t>1978</t>
        </is>
      </c>
      <c r="O868" t="inlineStr">
        <is>
          <t>eng</t>
        </is>
      </c>
      <c r="P868" t="inlineStr">
        <is>
          <t>mau</t>
        </is>
      </c>
      <c r="R868" t="inlineStr">
        <is>
          <t xml:space="preserve">HV </t>
        </is>
      </c>
      <c r="S868" t="n">
        <v>12</v>
      </c>
      <c r="T868" t="n">
        <v>12</v>
      </c>
      <c r="U868" t="inlineStr">
        <is>
          <t>2000-03-14</t>
        </is>
      </c>
      <c r="V868" t="inlineStr">
        <is>
          <t>2000-03-14</t>
        </is>
      </c>
      <c r="W868" t="inlineStr">
        <is>
          <t>1991-11-13</t>
        </is>
      </c>
      <c r="X868" t="inlineStr">
        <is>
          <t>1991-11-13</t>
        </is>
      </c>
      <c r="Y868" t="n">
        <v>654</v>
      </c>
      <c r="Z868" t="n">
        <v>544</v>
      </c>
      <c r="AA868" t="n">
        <v>547</v>
      </c>
      <c r="AB868" t="n">
        <v>5</v>
      </c>
      <c r="AC868" t="n">
        <v>5</v>
      </c>
      <c r="AD868" t="n">
        <v>32</v>
      </c>
      <c r="AE868" t="n">
        <v>32</v>
      </c>
      <c r="AF868" t="n">
        <v>9</v>
      </c>
      <c r="AG868" t="n">
        <v>9</v>
      </c>
      <c r="AH868" t="n">
        <v>3</v>
      </c>
      <c r="AI868" t="n">
        <v>3</v>
      </c>
      <c r="AJ868" t="n">
        <v>9</v>
      </c>
      <c r="AK868" t="n">
        <v>9</v>
      </c>
      <c r="AL868" t="n">
        <v>3</v>
      </c>
      <c r="AM868" t="n">
        <v>3</v>
      </c>
      <c r="AN868" t="n">
        <v>14</v>
      </c>
      <c r="AO868" t="n">
        <v>14</v>
      </c>
      <c r="AP868" t="inlineStr">
        <is>
          <t>No</t>
        </is>
      </c>
      <c r="AQ868" t="inlineStr">
        <is>
          <t>Yes</t>
        </is>
      </c>
      <c r="AR868">
        <f>HYPERLINK("http://catalog.hathitrust.org/Record/000092496","HathiTrust Record")</f>
        <v/>
      </c>
      <c r="AS868">
        <f>HYPERLINK("https://creighton-primo.hosted.exlibrisgroup.com/primo-explore/search?tab=default_tab&amp;search_scope=EVERYTHING&amp;vid=01CRU&amp;lang=en_US&amp;offset=0&amp;query=any,contains,991001786179702656","Catalog Record")</f>
        <v/>
      </c>
      <c r="AT868">
        <f>HYPERLINK("http://www.worldcat.org/oclc/3631456","WorldCat Record")</f>
        <v/>
      </c>
      <c r="AU868" t="inlineStr">
        <is>
          <t>470214:eng</t>
        </is>
      </c>
      <c r="AV868" t="inlineStr">
        <is>
          <t>3631456</t>
        </is>
      </c>
      <c r="AW868" t="inlineStr">
        <is>
          <t>991001786179702656</t>
        </is>
      </c>
      <c r="AX868" t="inlineStr">
        <is>
          <t>991001786179702656</t>
        </is>
      </c>
      <c r="AY868" t="inlineStr">
        <is>
          <t>2259396820002656</t>
        </is>
      </c>
      <c r="AZ868" t="inlineStr">
        <is>
          <t>BOOK</t>
        </is>
      </c>
      <c r="BB868" t="inlineStr">
        <is>
          <t>9780669019001</t>
        </is>
      </c>
      <c r="BC868" t="inlineStr">
        <is>
          <t>32285000824069</t>
        </is>
      </c>
      <c r="BD868" t="inlineStr">
        <is>
          <t>893596732</t>
        </is>
      </c>
    </row>
    <row r="869">
      <c r="A869" t="inlineStr">
        <is>
          <t>No</t>
        </is>
      </c>
      <c r="B869" t="inlineStr">
        <is>
          <t>HV6791 .C463 1985</t>
        </is>
      </c>
      <c r="C869" t="inlineStr">
        <is>
          <t>0                      HV 6791000C  463         1985</t>
        </is>
      </c>
      <c r="D869" t="inlineStr">
        <is>
          <t>The Changing roles of women in the criminal justice system : offenders, victims, and professionals / edited by Imogene L. Moyer.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L869" t="inlineStr">
        <is>
          <t>Prospect Heights, Ill. : Waveland Press, c1985.</t>
        </is>
      </c>
      <c r="M869" t="inlineStr">
        <is>
          <t>1985</t>
        </is>
      </c>
      <c r="O869" t="inlineStr">
        <is>
          <t>eng</t>
        </is>
      </c>
      <c r="P869" t="inlineStr">
        <is>
          <t>ilu</t>
        </is>
      </c>
      <c r="R869" t="inlineStr">
        <is>
          <t xml:space="preserve">HV </t>
        </is>
      </c>
      <c r="S869" t="n">
        <v>4</v>
      </c>
      <c r="T869" t="n">
        <v>4</v>
      </c>
      <c r="U869" t="inlineStr">
        <is>
          <t>2004-03-26</t>
        </is>
      </c>
      <c r="V869" t="inlineStr">
        <is>
          <t>2004-03-26</t>
        </is>
      </c>
      <c r="W869" t="inlineStr">
        <is>
          <t>1992-07-14</t>
        </is>
      </c>
      <c r="X869" t="inlineStr">
        <is>
          <t>1992-07-14</t>
        </is>
      </c>
      <c r="Y869" t="n">
        <v>352</v>
      </c>
      <c r="Z869" t="n">
        <v>320</v>
      </c>
      <c r="AA869" t="n">
        <v>532</v>
      </c>
      <c r="AB869" t="n">
        <v>5</v>
      </c>
      <c r="AC869" t="n">
        <v>7</v>
      </c>
      <c r="AD869" t="n">
        <v>15</v>
      </c>
      <c r="AE869" t="n">
        <v>25</v>
      </c>
      <c r="AF869" t="n">
        <v>4</v>
      </c>
      <c r="AG869" t="n">
        <v>6</v>
      </c>
      <c r="AH869" t="n">
        <v>3</v>
      </c>
      <c r="AI869" t="n">
        <v>6</v>
      </c>
      <c r="AJ869" t="n">
        <v>6</v>
      </c>
      <c r="AK869" t="n">
        <v>10</v>
      </c>
      <c r="AL869" t="n">
        <v>4</v>
      </c>
      <c r="AM869" t="n">
        <v>6</v>
      </c>
      <c r="AN869" t="n">
        <v>2</v>
      </c>
      <c r="AO869" t="n">
        <v>3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HYPERLINK("https://creighton-primo.hosted.exlibrisgroup.com/primo-explore/search?tab=default_tab&amp;search_scope=EVERYTHING&amp;vid=01CRU&amp;lang=en_US&amp;offset=0&amp;query=any,contains,991000559929702656","Catalog Record")</f>
        <v/>
      </c>
      <c r="AT869">
        <f>HYPERLINK("http://www.worldcat.org/oclc/11575365","WorldCat Record")</f>
        <v/>
      </c>
      <c r="AU869" t="inlineStr">
        <is>
          <t>916978621:eng</t>
        </is>
      </c>
      <c r="AV869" t="inlineStr">
        <is>
          <t>11575365</t>
        </is>
      </c>
      <c r="AW869" t="inlineStr">
        <is>
          <t>991000559929702656</t>
        </is>
      </c>
      <c r="AX869" t="inlineStr">
        <is>
          <t>991000559929702656</t>
        </is>
      </c>
      <c r="AY869" t="inlineStr">
        <is>
          <t>2264335700002656</t>
        </is>
      </c>
      <c r="AZ869" t="inlineStr">
        <is>
          <t>BOOK</t>
        </is>
      </c>
      <c r="BB869" t="inlineStr">
        <is>
          <t>9780881331288</t>
        </is>
      </c>
      <c r="BC869" t="inlineStr">
        <is>
          <t>32285001182012</t>
        </is>
      </c>
      <c r="BD869" t="inlineStr">
        <is>
          <t>893620580</t>
        </is>
      </c>
    </row>
    <row r="870">
      <c r="A870" t="inlineStr">
        <is>
          <t>No</t>
        </is>
      </c>
      <c r="B870" t="inlineStr">
        <is>
          <t>HV6791 .C67 1979</t>
        </is>
      </c>
      <c r="C870" t="inlineStr">
        <is>
          <t>0                      HV 6791000C  67          1979</t>
        </is>
      </c>
      <c r="D870" t="inlineStr">
        <is>
          <t>The Costs of crime / Charles M. Gray, editor.</t>
        </is>
      </c>
      <c r="F870" t="inlineStr">
        <is>
          <t>No</t>
        </is>
      </c>
      <c r="G870" t="inlineStr">
        <is>
          <t>1</t>
        </is>
      </c>
      <c r="H870" t="inlineStr">
        <is>
          <t>Yes</t>
        </is>
      </c>
      <c r="I870" t="inlineStr">
        <is>
          <t>No</t>
        </is>
      </c>
      <c r="J870" t="inlineStr">
        <is>
          <t>0</t>
        </is>
      </c>
      <c r="L870" t="inlineStr">
        <is>
          <t>Beverly Hills : Sage Publications, c1979.</t>
        </is>
      </c>
      <c r="M870" t="inlineStr">
        <is>
          <t>1979</t>
        </is>
      </c>
      <c r="O870" t="inlineStr">
        <is>
          <t>eng</t>
        </is>
      </c>
      <c r="P870" t="inlineStr">
        <is>
          <t>cau</t>
        </is>
      </c>
      <c r="Q870" t="inlineStr">
        <is>
          <t>Sage criminal justice system annuals ; v. 12</t>
        </is>
      </c>
      <c r="R870" t="inlineStr">
        <is>
          <t xml:space="preserve">HV </t>
        </is>
      </c>
      <c r="S870" t="n">
        <v>7</v>
      </c>
      <c r="T870" t="n">
        <v>7</v>
      </c>
      <c r="U870" t="inlineStr">
        <is>
          <t>2007-03-27</t>
        </is>
      </c>
      <c r="V870" t="inlineStr">
        <is>
          <t>2007-03-27</t>
        </is>
      </c>
      <c r="W870" t="inlineStr">
        <is>
          <t>1991-12-06</t>
        </is>
      </c>
      <c r="X870" t="inlineStr">
        <is>
          <t>1991-12-06</t>
        </is>
      </c>
      <c r="Y870" t="n">
        <v>491</v>
      </c>
      <c r="Z870" t="n">
        <v>410</v>
      </c>
      <c r="AA870" t="n">
        <v>416</v>
      </c>
      <c r="AB870" t="n">
        <v>4</v>
      </c>
      <c r="AC870" t="n">
        <v>4</v>
      </c>
      <c r="AD870" t="n">
        <v>24</v>
      </c>
      <c r="AE870" t="n">
        <v>24</v>
      </c>
      <c r="AF870" t="n">
        <v>3</v>
      </c>
      <c r="AG870" t="n">
        <v>3</v>
      </c>
      <c r="AH870" t="n">
        <v>3</v>
      </c>
      <c r="AI870" t="n">
        <v>3</v>
      </c>
      <c r="AJ870" t="n">
        <v>12</v>
      </c>
      <c r="AK870" t="n">
        <v>12</v>
      </c>
      <c r="AL870" t="n">
        <v>2</v>
      </c>
      <c r="AM870" t="n">
        <v>2</v>
      </c>
      <c r="AN870" t="n">
        <v>9</v>
      </c>
      <c r="AO870" t="n">
        <v>9</v>
      </c>
      <c r="AP870" t="inlineStr">
        <is>
          <t>No</t>
        </is>
      </c>
      <c r="AQ870" t="inlineStr">
        <is>
          <t>Yes</t>
        </is>
      </c>
      <c r="AR870">
        <f>HYPERLINK("http://catalog.hathitrust.org/Record/000085122","HathiTrust Record")</f>
        <v/>
      </c>
      <c r="AS870">
        <f>HYPERLINK("https://creighton-primo.hosted.exlibrisgroup.com/primo-explore/search?tab=default_tab&amp;search_scope=EVERYTHING&amp;vid=01CRU&amp;lang=en_US&amp;offset=0&amp;query=any,contains,991001809299702656","Catalog Record")</f>
        <v/>
      </c>
      <c r="AT870">
        <f>HYPERLINK("http://www.worldcat.org/oclc/5264258","WorldCat Record")</f>
        <v/>
      </c>
      <c r="AU870" t="inlineStr">
        <is>
          <t>457021:eng</t>
        </is>
      </c>
      <c r="AV870" t="inlineStr">
        <is>
          <t>5264258</t>
        </is>
      </c>
      <c r="AW870" t="inlineStr">
        <is>
          <t>991001809299702656</t>
        </is>
      </c>
      <c r="AX870" t="inlineStr">
        <is>
          <t>991001809299702656</t>
        </is>
      </c>
      <c r="AY870" t="inlineStr">
        <is>
          <t>2258636400002656</t>
        </is>
      </c>
      <c r="AZ870" t="inlineStr">
        <is>
          <t>BOOK</t>
        </is>
      </c>
      <c r="BB870" t="inlineStr">
        <is>
          <t>9780803911987</t>
        </is>
      </c>
      <c r="BC870" t="inlineStr">
        <is>
          <t>32285000828797</t>
        </is>
      </c>
      <c r="BD870" t="inlineStr">
        <is>
          <t>893609164</t>
        </is>
      </c>
    </row>
    <row r="871">
      <c r="A871" t="inlineStr">
        <is>
          <t>No</t>
        </is>
      </c>
      <c r="B871" t="inlineStr">
        <is>
          <t>HV6791 .E27</t>
        </is>
      </c>
      <c r="C871" t="inlineStr">
        <is>
          <t>0                      HV 6791000E  27</t>
        </is>
      </c>
      <c r="D871" t="inlineStr">
        <is>
          <t>The Economics of crime and punishment / a conference sponsored by American Enterprise Institute for Public Policy Research.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L871" t="inlineStr">
        <is>
          <t>Washington : American Enterprise Institute for Public Policy Research, [1973]</t>
        </is>
      </c>
      <c r="M871" t="inlineStr">
        <is>
          <t>1973</t>
        </is>
      </c>
      <c r="O871" t="inlineStr">
        <is>
          <t>eng</t>
        </is>
      </c>
      <c r="P871" t="inlineStr">
        <is>
          <t>dcu</t>
        </is>
      </c>
      <c r="R871" t="inlineStr">
        <is>
          <t xml:space="preserve">HV </t>
        </is>
      </c>
      <c r="S871" t="n">
        <v>7</v>
      </c>
      <c r="T871" t="n">
        <v>7</v>
      </c>
      <c r="U871" t="inlineStr">
        <is>
          <t>2007-03-27</t>
        </is>
      </c>
      <c r="V871" t="inlineStr">
        <is>
          <t>2007-03-27</t>
        </is>
      </c>
      <c r="W871" t="inlineStr">
        <is>
          <t>1992-04-11</t>
        </is>
      </c>
      <c r="X871" t="inlineStr">
        <is>
          <t>1992-04-11</t>
        </is>
      </c>
      <c r="Y871" t="n">
        <v>657</v>
      </c>
      <c r="Z871" t="n">
        <v>561</v>
      </c>
      <c r="AA871" t="n">
        <v>568</v>
      </c>
      <c r="AB871" t="n">
        <v>5</v>
      </c>
      <c r="AC871" t="n">
        <v>5</v>
      </c>
      <c r="AD871" t="n">
        <v>30</v>
      </c>
      <c r="AE871" t="n">
        <v>30</v>
      </c>
      <c r="AF871" t="n">
        <v>4</v>
      </c>
      <c r="AG871" t="n">
        <v>4</v>
      </c>
      <c r="AH871" t="n">
        <v>6</v>
      </c>
      <c r="AI871" t="n">
        <v>6</v>
      </c>
      <c r="AJ871" t="n">
        <v>8</v>
      </c>
      <c r="AK871" t="n">
        <v>8</v>
      </c>
      <c r="AL871" t="n">
        <v>3</v>
      </c>
      <c r="AM871" t="n">
        <v>3</v>
      </c>
      <c r="AN871" t="n">
        <v>13</v>
      </c>
      <c r="AO871" t="n">
        <v>13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HYPERLINK("http://catalog.hathitrust.org/Record/001134641","HathiTrust Record")</f>
        <v/>
      </c>
      <c r="AS871">
        <f>HYPERLINK("https://creighton-primo.hosted.exlibrisgroup.com/primo-explore/search?tab=default_tab&amp;search_scope=EVERYTHING&amp;vid=01CRU&amp;lang=en_US&amp;offset=0&amp;query=any,contains,991003277619702656","Catalog Record")</f>
        <v/>
      </c>
      <c r="AT871">
        <f>HYPERLINK("http://www.worldcat.org/oclc/800830","WorldCat Record")</f>
        <v/>
      </c>
      <c r="AU871" t="inlineStr">
        <is>
          <t>5619133064:eng</t>
        </is>
      </c>
      <c r="AV871" t="inlineStr">
        <is>
          <t>800830</t>
        </is>
      </c>
      <c r="AW871" t="inlineStr">
        <is>
          <t>991003277619702656</t>
        </is>
      </c>
      <c r="AX871" t="inlineStr">
        <is>
          <t>991003277619702656</t>
        </is>
      </c>
      <c r="AY871" t="inlineStr">
        <is>
          <t>2267068230002656</t>
        </is>
      </c>
      <c r="AZ871" t="inlineStr">
        <is>
          <t>BOOK</t>
        </is>
      </c>
      <c r="BB871" t="inlineStr">
        <is>
          <t>9780844720425</t>
        </is>
      </c>
      <c r="BC871" t="inlineStr">
        <is>
          <t>32285001058428</t>
        </is>
      </c>
      <c r="BD871" t="inlineStr">
        <is>
          <t>893422377</t>
        </is>
      </c>
    </row>
    <row r="872">
      <c r="A872" t="inlineStr">
        <is>
          <t>No</t>
        </is>
      </c>
      <c r="B872" t="inlineStr">
        <is>
          <t>HV6791 .E383 1984</t>
        </is>
      </c>
      <c r="C872" t="inlineStr">
        <is>
          <t>0                      HV 6791000E  383         1984</t>
        </is>
      </c>
      <c r="D872" t="inlineStr">
        <is>
          <t>Elderly criminals / edited by William Wilbanks, Paul K.H. Kim.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L872" t="inlineStr">
        <is>
          <t>Lanham [MD] : University Press of America, c1984.</t>
        </is>
      </c>
      <c r="M872" t="inlineStr">
        <is>
          <t>1984</t>
        </is>
      </c>
      <c r="O872" t="inlineStr">
        <is>
          <t>eng</t>
        </is>
      </c>
      <c r="P872" t="inlineStr">
        <is>
          <t>mdu</t>
        </is>
      </c>
      <c r="R872" t="inlineStr">
        <is>
          <t xml:space="preserve">HV </t>
        </is>
      </c>
      <c r="S872" t="n">
        <v>6</v>
      </c>
      <c r="T872" t="n">
        <v>6</v>
      </c>
      <c r="U872" t="inlineStr">
        <is>
          <t>1999-02-01</t>
        </is>
      </c>
      <c r="V872" t="inlineStr">
        <is>
          <t>1999-02-01</t>
        </is>
      </c>
      <c r="W872" t="inlineStr">
        <is>
          <t>1992-07-14</t>
        </is>
      </c>
      <c r="X872" t="inlineStr">
        <is>
          <t>1992-07-14</t>
        </is>
      </c>
      <c r="Y872" t="n">
        <v>385</v>
      </c>
      <c r="Z872" t="n">
        <v>343</v>
      </c>
      <c r="AA872" t="n">
        <v>350</v>
      </c>
      <c r="AB872" t="n">
        <v>3</v>
      </c>
      <c r="AC872" t="n">
        <v>3</v>
      </c>
      <c r="AD872" t="n">
        <v>16</v>
      </c>
      <c r="AE872" t="n">
        <v>16</v>
      </c>
      <c r="AF872" t="n">
        <v>6</v>
      </c>
      <c r="AG872" t="n">
        <v>6</v>
      </c>
      <c r="AH872" t="n">
        <v>3</v>
      </c>
      <c r="AI872" t="n">
        <v>3</v>
      </c>
      <c r="AJ872" t="n">
        <v>9</v>
      </c>
      <c r="AK872" t="n">
        <v>9</v>
      </c>
      <c r="AL872" t="n">
        <v>2</v>
      </c>
      <c r="AM872" t="n">
        <v>2</v>
      </c>
      <c r="AN872" t="n">
        <v>3</v>
      </c>
      <c r="AO872" t="n">
        <v>3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HYPERLINK("http://catalog.hathitrust.org/Record/000564232","HathiTrust Record")</f>
        <v/>
      </c>
      <c r="AS872">
        <f>HYPERLINK("https://creighton-primo.hosted.exlibrisgroup.com/primo-explore/search?tab=default_tab&amp;search_scope=EVERYTHING&amp;vid=01CRU&amp;lang=en_US&amp;offset=0&amp;query=any,contains,991000438339702656","Catalog Record")</f>
        <v/>
      </c>
      <c r="AT872">
        <f>HYPERLINK("http://www.worldcat.org/oclc/10800580","WorldCat Record")</f>
        <v/>
      </c>
      <c r="AU872" t="inlineStr">
        <is>
          <t>54647794:eng</t>
        </is>
      </c>
      <c r="AV872" t="inlineStr">
        <is>
          <t>10800580</t>
        </is>
      </c>
      <c r="AW872" t="inlineStr">
        <is>
          <t>991000438339702656</t>
        </is>
      </c>
      <c r="AX872" t="inlineStr">
        <is>
          <t>991000438339702656</t>
        </is>
      </c>
      <c r="AY872" t="inlineStr">
        <is>
          <t>2270681420002656</t>
        </is>
      </c>
      <c r="AZ872" t="inlineStr">
        <is>
          <t>BOOK</t>
        </is>
      </c>
      <c r="BB872" t="inlineStr">
        <is>
          <t>9780819140234</t>
        </is>
      </c>
      <c r="BC872" t="inlineStr">
        <is>
          <t>32285001182020</t>
        </is>
      </c>
      <c r="BD872" t="inlineStr">
        <is>
          <t>893261466</t>
        </is>
      </c>
    </row>
    <row r="873">
      <c r="A873" t="inlineStr">
        <is>
          <t>No</t>
        </is>
      </c>
      <c r="B873" t="inlineStr">
        <is>
          <t>HV6791 .F44</t>
        </is>
      </c>
      <c r="C873" t="inlineStr">
        <is>
          <t>0                      HV 6791000F  44</t>
        </is>
      </c>
      <c r="D873" t="inlineStr">
        <is>
          <t>Women in the criminal justice system / Clarice Feinman.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Feinman, Clarice.</t>
        </is>
      </c>
      <c r="L873" t="inlineStr">
        <is>
          <t>New York : Praeger, 1980.</t>
        </is>
      </c>
      <c r="M873" t="inlineStr">
        <is>
          <t>1980</t>
        </is>
      </c>
      <c r="O873" t="inlineStr">
        <is>
          <t>eng</t>
        </is>
      </c>
      <c r="P873" t="inlineStr">
        <is>
          <t>nyu</t>
        </is>
      </c>
      <c r="R873" t="inlineStr">
        <is>
          <t xml:space="preserve">HV </t>
        </is>
      </c>
      <c r="S873" t="n">
        <v>3</v>
      </c>
      <c r="T873" t="n">
        <v>3</v>
      </c>
      <c r="U873" t="inlineStr">
        <is>
          <t>2001-04-22</t>
        </is>
      </c>
      <c r="V873" t="inlineStr">
        <is>
          <t>2001-04-22</t>
        </is>
      </c>
      <c r="W873" t="inlineStr">
        <is>
          <t>1992-07-14</t>
        </is>
      </c>
      <c r="X873" t="inlineStr">
        <is>
          <t>1992-07-14</t>
        </is>
      </c>
      <c r="Y873" t="n">
        <v>468</v>
      </c>
      <c r="Z873" t="n">
        <v>393</v>
      </c>
      <c r="AA873" t="n">
        <v>1191</v>
      </c>
      <c r="AB873" t="n">
        <v>3</v>
      </c>
      <c r="AC873" t="n">
        <v>9</v>
      </c>
      <c r="AD873" t="n">
        <v>23</v>
      </c>
      <c r="AE873" t="n">
        <v>57</v>
      </c>
      <c r="AF873" t="n">
        <v>8</v>
      </c>
      <c r="AG873" t="n">
        <v>18</v>
      </c>
      <c r="AH873" t="n">
        <v>3</v>
      </c>
      <c r="AI873" t="n">
        <v>8</v>
      </c>
      <c r="AJ873" t="n">
        <v>7</v>
      </c>
      <c r="AK873" t="n">
        <v>18</v>
      </c>
      <c r="AL873" t="n">
        <v>2</v>
      </c>
      <c r="AM873" t="n">
        <v>8</v>
      </c>
      <c r="AN873" t="n">
        <v>7</v>
      </c>
      <c r="AO873" t="n">
        <v>16</v>
      </c>
      <c r="AP873" t="inlineStr">
        <is>
          <t>No</t>
        </is>
      </c>
      <c r="AQ873" t="inlineStr">
        <is>
          <t>No</t>
        </is>
      </c>
      <c r="AS873">
        <f>HYPERLINK("https://creighton-primo.hosted.exlibrisgroup.com/primo-explore/search?tab=default_tab&amp;search_scope=EVERYTHING&amp;vid=01CRU&amp;lang=en_US&amp;offset=0&amp;query=any,contains,991004936399702656","Catalog Record")</f>
        <v/>
      </c>
      <c r="AT873">
        <f>HYPERLINK("http://www.worldcat.org/oclc/6143477","WorldCat Record")</f>
        <v/>
      </c>
      <c r="AU873" t="inlineStr">
        <is>
          <t>2571903:eng</t>
        </is>
      </c>
      <c r="AV873" t="inlineStr">
        <is>
          <t>6143477</t>
        </is>
      </c>
      <c r="AW873" t="inlineStr">
        <is>
          <t>991004936399702656</t>
        </is>
      </c>
      <c r="AX873" t="inlineStr">
        <is>
          <t>991004936399702656</t>
        </is>
      </c>
      <c r="AY873" t="inlineStr">
        <is>
          <t>2259942930002656</t>
        </is>
      </c>
      <c r="AZ873" t="inlineStr">
        <is>
          <t>BOOK</t>
        </is>
      </c>
      <c r="BB873" t="inlineStr">
        <is>
          <t>9780030525612</t>
        </is>
      </c>
      <c r="BC873" t="inlineStr">
        <is>
          <t>32285001182038</t>
        </is>
      </c>
      <c r="BD873" t="inlineStr">
        <is>
          <t>893801518</t>
        </is>
      </c>
    </row>
    <row r="874">
      <c r="A874" t="inlineStr">
        <is>
          <t>No</t>
        </is>
      </c>
      <c r="B874" t="inlineStr">
        <is>
          <t>HV6791 .K38 1988</t>
        </is>
      </c>
      <c r="C874" t="inlineStr">
        <is>
          <t>0                      HV 6791000K  38          1988</t>
        </is>
      </c>
      <c r="D874" t="inlineStr">
        <is>
          <t>Seductions of crime : moral and sensual attractions in doing evil / Jack Katz.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Katz, Jack.</t>
        </is>
      </c>
      <c r="L874" t="inlineStr">
        <is>
          <t>New York : Basic Books, c1988.</t>
        </is>
      </c>
      <c r="M874" t="inlineStr">
        <is>
          <t>1988</t>
        </is>
      </c>
      <c r="O874" t="inlineStr">
        <is>
          <t>eng</t>
        </is>
      </c>
      <c r="P874" t="inlineStr">
        <is>
          <t>nyu</t>
        </is>
      </c>
      <c r="R874" t="inlineStr">
        <is>
          <t xml:space="preserve">HV </t>
        </is>
      </c>
      <c r="S874" t="n">
        <v>7</v>
      </c>
      <c r="T874" t="n">
        <v>7</v>
      </c>
      <c r="U874" t="inlineStr">
        <is>
          <t>2009-04-02</t>
        </is>
      </c>
      <c r="V874" t="inlineStr">
        <is>
          <t>2009-04-02</t>
        </is>
      </c>
      <c r="W874" t="inlineStr">
        <is>
          <t>1991-12-17</t>
        </is>
      </c>
      <c r="X874" t="inlineStr">
        <is>
          <t>1991-12-17</t>
        </is>
      </c>
      <c r="Y874" t="n">
        <v>1117</v>
      </c>
      <c r="Z874" t="n">
        <v>949</v>
      </c>
      <c r="AA874" t="n">
        <v>958</v>
      </c>
      <c r="AB874" t="n">
        <v>4</v>
      </c>
      <c r="AC874" t="n">
        <v>4</v>
      </c>
      <c r="AD874" t="n">
        <v>42</v>
      </c>
      <c r="AE874" t="n">
        <v>42</v>
      </c>
      <c r="AF874" t="n">
        <v>17</v>
      </c>
      <c r="AG874" t="n">
        <v>17</v>
      </c>
      <c r="AH874" t="n">
        <v>7</v>
      </c>
      <c r="AI874" t="n">
        <v>7</v>
      </c>
      <c r="AJ874" t="n">
        <v>18</v>
      </c>
      <c r="AK874" t="n">
        <v>18</v>
      </c>
      <c r="AL874" t="n">
        <v>3</v>
      </c>
      <c r="AM874" t="n">
        <v>3</v>
      </c>
      <c r="AN874" t="n">
        <v>7</v>
      </c>
      <c r="AO874" t="n">
        <v>7</v>
      </c>
      <c r="AP874" t="inlineStr">
        <is>
          <t>No</t>
        </is>
      </c>
      <c r="AQ874" t="inlineStr">
        <is>
          <t>No</t>
        </is>
      </c>
      <c r="AS874">
        <f>HYPERLINK("https://creighton-primo.hosted.exlibrisgroup.com/primo-explore/search?tab=default_tab&amp;search_scope=EVERYTHING&amp;vid=01CRU&amp;lang=en_US&amp;offset=0&amp;query=any,contains,991001327989702656","Catalog Record")</f>
        <v/>
      </c>
      <c r="AT874">
        <f>HYPERLINK("http://www.worldcat.org/oclc/18291572","WorldCat Record")</f>
        <v/>
      </c>
      <c r="AU874" t="inlineStr">
        <is>
          <t>364289915:eng</t>
        </is>
      </c>
      <c r="AV874" t="inlineStr">
        <is>
          <t>18291572</t>
        </is>
      </c>
      <c r="AW874" t="inlineStr">
        <is>
          <t>991001327989702656</t>
        </is>
      </c>
      <c r="AX874" t="inlineStr">
        <is>
          <t>991001327989702656</t>
        </is>
      </c>
      <c r="AY874" t="inlineStr">
        <is>
          <t>2264729320002656</t>
        </is>
      </c>
      <c r="AZ874" t="inlineStr">
        <is>
          <t>BOOK</t>
        </is>
      </c>
      <c r="BB874" t="inlineStr">
        <is>
          <t>9780465076154</t>
        </is>
      </c>
      <c r="BC874" t="inlineStr">
        <is>
          <t>32285000907088</t>
        </is>
      </c>
      <c r="BD874" t="inlineStr">
        <is>
          <t>893497004</t>
        </is>
      </c>
    </row>
    <row r="875">
      <c r="A875" t="inlineStr">
        <is>
          <t>No</t>
        </is>
      </c>
      <c r="B875" t="inlineStr">
        <is>
          <t>HV6791 .M54</t>
        </is>
      </c>
      <c r="C875" t="inlineStr">
        <is>
          <t>0                      HV 6791000M  54</t>
        </is>
      </c>
      <c r="D875" t="inlineStr">
        <is>
          <t>The criminal justice and mental health systems : conflict and collusion / Kent S. Miller.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Miller, Kent S.</t>
        </is>
      </c>
      <c r="L875" t="inlineStr">
        <is>
          <t>Cambridge, Mass. : Oelgeschlager, Gunn &amp; Hain, c1980.</t>
        </is>
      </c>
      <c r="M875" t="inlineStr">
        <is>
          <t>1980</t>
        </is>
      </c>
      <c r="O875" t="inlineStr">
        <is>
          <t>eng</t>
        </is>
      </c>
      <c r="P875" t="inlineStr">
        <is>
          <t>mau</t>
        </is>
      </c>
      <c r="R875" t="inlineStr">
        <is>
          <t xml:space="preserve">HV </t>
        </is>
      </c>
      <c r="S875" t="n">
        <v>3</v>
      </c>
      <c r="T875" t="n">
        <v>3</v>
      </c>
      <c r="U875" t="inlineStr">
        <is>
          <t>2007-02-14</t>
        </is>
      </c>
      <c r="V875" t="inlineStr">
        <is>
          <t>2007-02-14</t>
        </is>
      </c>
      <c r="W875" t="inlineStr">
        <is>
          <t>1990-03-12</t>
        </is>
      </c>
      <c r="X875" t="inlineStr">
        <is>
          <t>1990-03-12</t>
        </is>
      </c>
      <c r="Y875" t="n">
        <v>634</v>
      </c>
      <c r="Z875" t="n">
        <v>570</v>
      </c>
      <c r="AA875" t="n">
        <v>571</v>
      </c>
      <c r="AB875" t="n">
        <v>5</v>
      </c>
      <c r="AC875" t="n">
        <v>5</v>
      </c>
      <c r="AD875" t="n">
        <v>34</v>
      </c>
      <c r="AE875" t="n">
        <v>34</v>
      </c>
      <c r="AF875" t="n">
        <v>8</v>
      </c>
      <c r="AG875" t="n">
        <v>8</v>
      </c>
      <c r="AH875" t="n">
        <v>6</v>
      </c>
      <c r="AI875" t="n">
        <v>6</v>
      </c>
      <c r="AJ875" t="n">
        <v>9</v>
      </c>
      <c r="AK875" t="n">
        <v>9</v>
      </c>
      <c r="AL875" t="n">
        <v>4</v>
      </c>
      <c r="AM875" t="n">
        <v>4</v>
      </c>
      <c r="AN875" t="n">
        <v>11</v>
      </c>
      <c r="AO875" t="n">
        <v>11</v>
      </c>
      <c r="AP875" t="inlineStr">
        <is>
          <t>No</t>
        </is>
      </c>
      <c r="AQ875" t="inlineStr">
        <is>
          <t>No</t>
        </is>
      </c>
      <c r="AS875">
        <f>HYPERLINK("https://creighton-primo.hosted.exlibrisgroup.com/primo-explore/search?tab=default_tab&amp;search_scope=EVERYTHING&amp;vid=01CRU&amp;lang=en_US&amp;offset=0&amp;query=any,contains,991004937339702656","Catalog Record")</f>
        <v/>
      </c>
      <c r="AT875">
        <f>HYPERLINK("http://www.worldcat.org/oclc/6144034","WorldCat Record")</f>
        <v/>
      </c>
      <c r="AU875" t="inlineStr">
        <is>
          <t>21002235:eng</t>
        </is>
      </c>
      <c r="AV875" t="inlineStr">
        <is>
          <t>6144034</t>
        </is>
      </c>
      <c r="AW875" t="inlineStr">
        <is>
          <t>991004937339702656</t>
        </is>
      </c>
      <c r="AX875" t="inlineStr">
        <is>
          <t>991004937339702656</t>
        </is>
      </c>
      <c r="AY875" t="inlineStr">
        <is>
          <t>2260336970002656</t>
        </is>
      </c>
      <c r="AZ875" t="inlineStr">
        <is>
          <t>BOOK</t>
        </is>
      </c>
      <c r="BB875" t="inlineStr">
        <is>
          <t>9780899460321</t>
        </is>
      </c>
      <c r="BC875" t="inlineStr">
        <is>
          <t>32285000065705</t>
        </is>
      </c>
      <c r="BD875" t="inlineStr">
        <is>
          <t>893776606</t>
        </is>
      </c>
    </row>
    <row r="876">
      <c r="A876" t="inlineStr">
        <is>
          <t>No</t>
        </is>
      </c>
      <c r="B876" t="inlineStr">
        <is>
          <t>HV6791 .P94 1983</t>
        </is>
      </c>
      <c r="C876" t="inlineStr">
        <is>
          <t>0                      HV 6791000P  94          1983</t>
        </is>
      </c>
      <c r="D876" t="inlineStr">
        <is>
          <t>The economics of crime and law enforcement / David J. Pyle.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Pyle, David J.</t>
        </is>
      </c>
      <c r="L876" t="inlineStr">
        <is>
          <t>New York : St. Martin's Press, 1983.</t>
        </is>
      </c>
      <c r="M876" t="inlineStr">
        <is>
          <t>1983</t>
        </is>
      </c>
      <c r="O876" t="inlineStr">
        <is>
          <t>eng</t>
        </is>
      </c>
      <c r="P876" t="inlineStr">
        <is>
          <t>nyu</t>
        </is>
      </c>
      <c r="R876" t="inlineStr">
        <is>
          <t xml:space="preserve">HV </t>
        </is>
      </c>
      <c r="S876" t="n">
        <v>8</v>
      </c>
      <c r="T876" t="n">
        <v>8</v>
      </c>
      <c r="U876" t="inlineStr">
        <is>
          <t>2007-03-27</t>
        </is>
      </c>
      <c r="V876" t="inlineStr">
        <is>
          <t>2007-03-27</t>
        </is>
      </c>
      <c r="W876" t="inlineStr">
        <is>
          <t>1992-04-30</t>
        </is>
      </c>
      <c r="X876" t="inlineStr">
        <is>
          <t>1992-04-30</t>
        </is>
      </c>
      <c r="Y876" t="n">
        <v>372</v>
      </c>
      <c r="Z876" t="n">
        <v>335</v>
      </c>
      <c r="AA876" t="n">
        <v>388</v>
      </c>
      <c r="AB876" t="n">
        <v>3</v>
      </c>
      <c r="AC876" t="n">
        <v>3</v>
      </c>
      <c r="AD876" t="n">
        <v>20</v>
      </c>
      <c r="AE876" t="n">
        <v>22</v>
      </c>
      <c r="AF876" t="n">
        <v>8</v>
      </c>
      <c r="AG876" t="n">
        <v>8</v>
      </c>
      <c r="AH876" t="n">
        <v>3</v>
      </c>
      <c r="AI876" t="n">
        <v>4</v>
      </c>
      <c r="AJ876" t="n">
        <v>7</v>
      </c>
      <c r="AK876" t="n">
        <v>9</v>
      </c>
      <c r="AL876" t="n">
        <v>1</v>
      </c>
      <c r="AM876" t="n">
        <v>1</v>
      </c>
      <c r="AN876" t="n">
        <v>5</v>
      </c>
      <c r="AO876" t="n">
        <v>5</v>
      </c>
      <c r="AP876" t="inlineStr">
        <is>
          <t>No</t>
        </is>
      </c>
      <c r="AQ876" t="inlineStr">
        <is>
          <t>No</t>
        </is>
      </c>
      <c r="AS876">
        <f>HYPERLINK("https://creighton-primo.hosted.exlibrisgroup.com/primo-explore/search?tab=default_tab&amp;search_scope=EVERYTHING&amp;vid=01CRU&amp;lang=en_US&amp;offset=0&amp;query=any,contains,991005242759702656","Catalog Record")</f>
        <v/>
      </c>
      <c r="AT876">
        <f>HYPERLINK("http://www.worldcat.org/oclc/8431334","WorldCat Record")</f>
        <v/>
      </c>
      <c r="AU876" t="inlineStr">
        <is>
          <t>442244:eng</t>
        </is>
      </c>
      <c r="AV876" t="inlineStr">
        <is>
          <t>8431334</t>
        </is>
      </c>
      <c r="AW876" t="inlineStr">
        <is>
          <t>991005242759702656</t>
        </is>
      </c>
      <c r="AX876" t="inlineStr">
        <is>
          <t>991005242759702656</t>
        </is>
      </c>
      <c r="AY876" t="inlineStr">
        <is>
          <t>2260167850002656</t>
        </is>
      </c>
      <c r="AZ876" t="inlineStr">
        <is>
          <t>BOOK</t>
        </is>
      </c>
      <c r="BB876" t="inlineStr">
        <is>
          <t>9780312228026</t>
        </is>
      </c>
      <c r="BC876" t="inlineStr">
        <is>
          <t>32285001090520</t>
        </is>
      </c>
      <c r="BD876" t="inlineStr">
        <is>
          <t>893514319</t>
        </is>
      </c>
    </row>
    <row r="877">
      <c r="A877" t="inlineStr">
        <is>
          <t>No</t>
        </is>
      </c>
      <c r="B877" t="inlineStr">
        <is>
          <t>HV6791 .R87 1982</t>
        </is>
      </c>
      <c r="C877" t="inlineStr">
        <is>
          <t>0                      HV 6791000R  87          1982</t>
        </is>
      </c>
      <c r="D877" t="inlineStr">
        <is>
          <t>Rural crime : integrating research and prevention / edited by Timothy J. Carter ... [et al.].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L877" t="inlineStr">
        <is>
          <t>Totowa, N.J. : Allanheld, Osmun, 1982.</t>
        </is>
      </c>
      <c r="M877" t="inlineStr">
        <is>
          <t>1982</t>
        </is>
      </c>
      <c r="O877" t="inlineStr">
        <is>
          <t>eng</t>
        </is>
      </c>
      <c r="P877" t="inlineStr">
        <is>
          <t>nju</t>
        </is>
      </c>
      <c r="R877" t="inlineStr">
        <is>
          <t xml:space="preserve">HV </t>
        </is>
      </c>
      <c r="S877" t="n">
        <v>17</v>
      </c>
      <c r="T877" t="n">
        <v>17</v>
      </c>
      <c r="U877" t="inlineStr">
        <is>
          <t>1999-03-14</t>
        </is>
      </c>
      <c r="V877" t="inlineStr">
        <is>
          <t>1999-03-14</t>
        </is>
      </c>
      <c r="W877" t="inlineStr">
        <is>
          <t>1992-07-14</t>
        </is>
      </c>
      <c r="X877" t="inlineStr">
        <is>
          <t>1992-07-14</t>
        </is>
      </c>
      <c r="Y877" t="n">
        <v>374</v>
      </c>
      <c r="Z877" t="n">
        <v>331</v>
      </c>
      <c r="AA877" t="n">
        <v>344</v>
      </c>
      <c r="AB877" t="n">
        <v>5</v>
      </c>
      <c r="AC877" t="n">
        <v>5</v>
      </c>
      <c r="AD877" t="n">
        <v>19</v>
      </c>
      <c r="AE877" t="n">
        <v>19</v>
      </c>
      <c r="AF877" t="n">
        <v>4</v>
      </c>
      <c r="AG877" t="n">
        <v>4</v>
      </c>
      <c r="AH877" t="n">
        <v>2</v>
      </c>
      <c r="AI877" t="n">
        <v>2</v>
      </c>
      <c r="AJ877" t="n">
        <v>5</v>
      </c>
      <c r="AK877" t="n">
        <v>5</v>
      </c>
      <c r="AL877" t="n">
        <v>4</v>
      </c>
      <c r="AM877" t="n">
        <v>4</v>
      </c>
      <c r="AN877" t="n">
        <v>6</v>
      </c>
      <c r="AO877" t="n">
        <v>6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HYPERLINK("http://catalog.hathitrust.org/Record/000232765","HathiTrust Record")</f>
        <v/>
      </c>
      <c r="AS877">
        <f>HYPERLINK("https://creighton-primo.hosted.exlibrisgroup.com/primo-explore/search?tab=default_tab&amp;search_scope=EVERYTHING&amp;vid=01CRU&amp;lang=en_US&amp;offset=0&amp;query=any,contains,991005139869702656","Catalog Record")</f>
        <v/>
      </c>
      <c r="AT877">
        <f>HYPERLINK("http://www.worldcat.org/oclc/7597629","WorldCat Record")</f>
        <v/>
      </c>
      <c r="AU877" t="inlineStr">
        <is>
          <t>427784743:eng</t>
        </is>
      </c>
      <c r="AV877" t="inlineStr">
        <is>
          <t>7597629</t>
        </is>
      </c>
      <c r="AW877" t="inlineStr">
        <is>
          <t>991005139869702656</t>
        </is>
      </c>
      <c r="AX877" t="inlineStr">
        <is>
          <t>991005139869702656</t>
        </is>
      </c>
      <c r="AY877" t="inlineStr">
        <is>
          <t>2254781650002656</t>
        </is>
      </c>
      <c r="AZ877" t="inlineStr">
        <is>
          <t>BOOK</t>
        </is>
      </c>
      <c r="BB877" t="inlineStr">
        <is>
          <t>9780865980235</t>
        </is>
      </c>
      <c r="BC877" t="inlineStr">
        <is>
          <t>32285001182053</t>
        </is>
      </c>
      <c r="BD877" t="inlineStr">
        <is>
          <t>893501389</t>
        </is>
      </c>
    </row>
    <row r="878">
      <c r="A878" t="inlineStr">
        <is>
          <t>No</t>
        </is>
      </c>
      <c r="B878" t="inlineStr">
        <is>
          <t>HV6791 .S57 1990</t>
        </is>
      </c>
      <c r="C878" t="inlineStr">
        <is>
          <t>0                      HV 6791000S  57          1990</t>
        </is>
      </c>
      <c r="D878" t="inlineStr">
        <is>
          <t>Disorder and decline : crime and the spiral of decay in American neighborhoods / Wesley G. Skogan.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Skogan, Wesley G.</t>
        </is>
      </c>
      <c r="L878" t="inlineStr">
        <is>
          <t>New York : Free Press ; Toronto : Collier Macmillan Canada, c1990.</t>
        </is>
      </c>
      <c r="M878" t="inlineStr">
        <is>
          <t>1990</t>
        </is>
      </c>
      <c r="O878" t="inlineStr">
        <is>
          <t>eng</t>
        </is>
      </c>
      <c r="P878" t="inlineStr">
        <is>
          <t>nyu</t>
        </is>
      </c>
      <c r="R878" t="inlineStr">
        <is>
          <t xml:space="preserve">HV </t>
        </is>
      </c>
      <c r="S878" t="n">
        <v>5</v>
      </c>
      <c r="T878" t="n">
        <v>5</v>
      </c>
      <c r="U878" t="inlineStr">
        <is>
          <t>2008-12-03</t>
        </is>
      </c>
      <c r="V878" t="inlineStr">
        <is>
          <t>2008-12-03</t>
        </is>
      </c>
      <c r="W878" t="inlineStr">
        <is>
          <t>1991-06-05</t>
        </is>
      </c>
      <c r="X878" t="inlineStr">
        <is>
          <t>1991-06-05</t>
        </is>
      </c>
      <c r="Y878" t="n">
        <v>894</v>
      </c>
      <c r="Z878" t="n">
        <v>820</v>
      </c>
      <c r="AA878" t="n">
        <v>937</v>
      </c>
      <c r="AB878" t="n">
        <v>5</v>
      </c>
      <c r="AC878" t="n">
        <v>7</v>
      </c>
      <c r="AD878" t="n">
        <v>35</v>
      </c>
      <c r="AE878" t="n">
        <v>42</v>
      </c>
      <c r="AF878" t="n">
        <v>12</v>
      </c>
      <c r="AG878" t="n">
        <v>15</v>
      </c>
      <c r="AH878" t="n">
        <v>8</v>
      </c>
      <c r="AI878" t="n">
        <v>9</v>
      </c>
      <c r="AJ878" t="n">
        <v>18</v>
      </c>
      <c r="AK878" t="n">
        <v>19</v>
      </c>
      <c r="AL878" t="n">
        <v>4</v>
      </c>
      <c r="AM878" t="n">
        <v>6</v>
      </c>
      <c r="AN878" t="n">
        <v>3</v>
      </c>
      <c r="AO878" t="n">
        <v>3</v>
      </c>
      <c r="AP878" t="inlineStr">
        <is>
          <t>No</t>
        </is>
      </c>
      <c r="AQ878" t="inlineStr">
        <is>
          <t>No</t>
        </is>
      </c>
      <c r="AS878">
        <f>HYPERLINK("https://creighton-primo.hosted.exlibrisgroup.com/primo-explore/search?tab=default_tab&amp;search_scope=EVERYTHING&amp;vid=01CRU&amp;lang=en_US&amp;offset=0&amp;query=any,contains,991001677949702656","Catalog Record")</f>
        <v/>
      </c>
      <c r="AT878">
        <f>HYPERLINK("http://www.worldcat.org/oclc/21334519","WorldCat Record")</f>
        <v/>
      </c>
      <c r="AU878" t="inlineStr">
        <is>
          <t>886209:eng</t>
        </is>
      </c>
      <c r="AV878" t="inlineStr">
        <is>
          <t>21334519</t>
        </is>
      </c>
      <c r="AW878" t="inlineStr">
        <is>
          <t>991001677949702656</t>
        </is>
      </c>
      <c r="AX878" t="inlineStr">
        <is>
          <t>991001677949702656</t>
        </is>
      </c>
      <c r="AY878" t="inlineStr">
        <is>
          <t>2262089340002656</t>
        </is>
      </c>
      <c r="AZ878" t="inlineStr">
        <is>
          <t>BOOK</t>
        </is>
      </c>
      <c r="BB878" t="inlineStr">
        <is>
          <t>9780029291511</t>
        </is>
      </c>
      <c r="BC878" t="inlineStr">
        <is>
          <t>32285000592757</t>
        </is>
      </c>
      <c r="BD878" t="inlineStr">
        <is>
          <t>893596626</t>
        </is>
      </c>
    </row>
    <row r="879">
      <c r="A879" t="inlineStr">
        <is>
          <t>No</t>
        </is>
      </c>
      <c r="B879" t="inlineStr">
        <is>
          <t>HV6791 .V36 2004</t>
        </is>
      </c>
      <c r="C879" t="inlineStr">
        <is>
          <t>0                      HV 6791000V  36          2004</t>
        </is>
      </c>
      <c r="D879" t="inlineStr">
        <is>
          <t>Hoodlums : Black villains and social bandits in American life / William L. Van Deburg.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Van Deburg, William L.</t>
        </is>
      </c>
      <c r="L879" t="inlineStr">
        <is>
          <t>Chicago : University of Chicago Press, c2004.</t>
        </is>
      </c>
      <c r="M879" t="inlineStr">
        <is>
          <t>2004</t>
        </is>
      </c>
      <c r="O879" t="inlineStr">
        <is>
          <t>eng</t>
        </is>
      </c>
      <c r="P879" t="inlineStr">
        <is>
          <t>ilu</t>
        </is>
      </c>
      <c r="R879" t="inlineStr">
        <is>
          <t xml:space="preserve">HV </t>
        </is>
      </c>
      <c r="S879" t="n">
        <v>2</v>
      </c>
      <c r="T879" t="n">
        <v>2</v>
      </c>
      <c r="U879" t="inlineStr">
        <is>
          <t>2006-02-06</t>
        </is>
      </c>
      <c r="V879" t="inlineStr">
        <is>
          <t>2006-02-06</t>
        </is>
      </c>
      <c r="W879" t="inlineStr">
        <is>
          <t>2006-02-06</t>
        </is>
      </c>
      <c r="X879" t="inlineStr">
        <is>
          <t>2006-02-06</t>
        </is>
      </c>
      <c r="Y879" t="n">
        <v>688</v>
      </c>
      <c r="Z879" t="n">
        <v>629</v>
      </c>
      <c r="AA879" t="n">
        <v>672</v>
      </c>
      <c r="AB879" t="n">
        <v>4</v>
      </c>
      <c r="AC879" t="n">
        <v>4</v>
      </c>
      <c r="AD879" t="n">
        <v>26</v>
      </c>
      <c r="AE879" t="n">
        <v>27</v>
      </c>
      <c r="AF879" t="n">
        <v>13</v>
      </c>
      <c r="AG879" t="n">
        <v>13</v>
      </c>
      <c r="AH879" t="n">
        <v>6</v>
      </c>
      <c r="AI879" t="n">
        <v>6</v>
      </c>
      <c r="AJ879" t="n">
        <v>12</v>
      </c>
      <c r="AK879" t="n">
        <v>13</v>
      </c>
      <c r="AL879" t="n">
        <v>3</v>
      </c>
      <c r="AM879" t="n">
        <v>3</v>
      </c>
      <c r="AN879" t="n">
        <v>0</v>
      </c>
      <c r="AO879" t="n">
        <v>0</v>
      </c>
      <c r="AP879" t="inlineStr">
        <is>
          <t>No</t>
        </is>
      </c>
      <c r="AQ879" t="inlineStr">
        <is>
          <t>No</t>
        </is>
      </c>
      <c r="AS879">
        <f>HYPERLINK("https://creighton-primo.hosted.exlibrisgroup.com/primo-explore/search?tab=default_tab&amp;search_scope=EVERYTHING&amp;vid=01CRU&amp;lang=en_US&amp;offset=0&amp;query=any,contains,991004716939702656","Catalog Record")</f>
        <v/>
      </c>
      <c r="AT879">
        <f>HYPERLINK("http://www.worldcat.org/oclc/54529025","WorldCat Record")</f>
        <v/>
      </c>
      <c r="AU879" t="inlineStr">
        <is>
          <t>991240:eng</t>
        </is>
      </c>
      <c r="AV879" t="inlineStr">
        <is>
          <t>54529025</t>
        </is>
      </c>
      <c r="AW879" t="inlineStr">
        <is>
          <t>991004716939702656</t>
        </is>
      </c>
      <c r="AX879" t="inlineStr">
        <is>
          <t>991004716939702656</t>
        </is>
      </c>
      <c r="AY879" t="inlineStr">
        <is>
          <t>2272372110002656</t>
        </is>
      </c>
      <c r="AZ879" t="inlineStr">
        <is>
          <t>BOOK</t>
        </is>
      </c>
      <c r="BB879" t="inlineStr">
        <is>
          <t>9780226847191</t>
        </is>
      </c>
      <c r="BC879" t="inlineStr">
        <is>
          <t>32285005157226</t>
        </is>
      </c>
      <c r="BD879" t="inlineStr">
        <is>
          <t>893706757</t>
        </is>
      </c>
    </row>
    <row r="880">
      <c r="A880" t="inlineStr">
        <is>
          <t>No</t>
        </is>
      </c>
      <c r="B880" t="inlineStr">
        <is>
          <t>HV6791 .V565 1989</t>
        </is>
      </c>
      <c r="C880" t="inlineStr">
        <is>
          <t>0                      HV 6791000V  565         1989</t>
        </is>
      </c>
      <c r="D880" t="inlineStr">
        <is>
          <t>Violent crime, violent criminals / edited by Neil Alan Weiner, Marvin E. Wolfgang.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L880" t="inlineStr">
        <is>
          <t>Newbury Park, Calif. : Sage Publications, c1989.</t>
        </is>
      </c>
      <c r="M880" t="inlineStr">
        <is>
          <t>1989</t>
        </is>
      </c>
      <c r="O880" t="inlineStr">
        <is>
          <t>eng</t>
        </is>
      </c>
      <c r="P880" t="inlineStr">
        <is>
          <t>cau</t>
        </is>
      </c>
      <c r="Q880" t="inlineStr">
        <is>
          <t>Sage focus editions ; 101</t>
        </is>
      </c>
      <c r="R880" t="inlineStr">
        <is>
          <t xml:space="preserve">HV </t>
        </is>
      </c>
      <c r="S880" t="n">
        <v>15</v>
      </c>
      <c r="T880" t="n">
        <v>15</v>
      </c>
      <c r="U880" t="inlineStr">
        <is>
          <t>2007-12-02</t>
        </is>
      </c>
      <c r="V880" t="inlineStr">
        <is>
          <t>2007-12-02</t>
        </is>
      </c>
      <c r="W880" t="inlineStr">
        <is>
          <t>1990-01-16</t>
        </is>
      </c>
      <c r="X880" t="inlineStr">
        <is>
          <t>1990-01-16</t>
        </is>
      </c>
      <c r="Y880" t="n">
        <v>492</v>
      </c>
      <c r="Z880" t="n">
        <v>399</v>
      </c>
      <c r="AA880" t="n">
        <v>408</v>
      </c>
      <c r="AB880" t="n">
        <v>5</v>
      </c>
      <c r="AC880" t="n">
        <v>5</v>
      </c>
      <c r="AD880" t="n">
        <v>17</v>
      </c>
      <c r="AE880" t="n">
        <v>17</v>
      </c>
      <c r="AF880" t="n">
        <v>4</v>
      </c>
      <c r="AG880" t="n">
        <v>4</v>
      </c>
      <c r="AH880" t="n">
        <v>3</v>
      </c>
      <c r="AI880" t="n">
        <v>3</v>
      </c>
      <c r="AJ880" t="n">
        <v>7</v>
      </c>
      <c r="AK880" t="n">
        <v>7</v>
      </c>
      <c r="AL880" t="n">
        <v>4</v>
      </c>
      <c r="AM880" t="n">
        <v>4</v>
      </c>
      <c r="AN880" t="n">
        <v>3</v>
      </c>
      <c r="AO880" t="n">
        <v>3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HYPERLINK("http://catalog.hathitrust.org/Record/004414784","HathiTrust Record")</f>
        <v/>
      </c>
      <c r="AS880">
        <f>HYPERLINK("https://creighton-primo.hosted.exlibrisgroup.com/primo-explore/search?tab=default_tab&amp;search_scope=EVERYTHING&amp;vid=01CRU&amp;lang=en_US&amp;offset=0&amp;query=any,contains,991001323209702656","Catalog Record")</f>
        <v/>
      </c>
      <c r="AT880">
        <f>HYPERLINK("http://www.worldcat.org/oclc/18256280","WorldCat Record")</f>
        <v/>
      </c>
      <c r="AU880" t="inlineStr">
        <is>
          <t>351892783:eng</t>
        </is>
      </c>
      <c r="AV880" t="inlineStr">
        <is>
          <t>18256280</t>
        </is>
      </c>
      <c r="AW880" t="inlineStr">
        <is>
          <t>991001323209702656</t>
        </is>
      </c>
      <c r="AX880" t="inlineStr">
        <is>
          <t>991001323209702656</t>
        </is>
      </c>
      <c r="AY880" t="inlineStr">
        <is>
          <t>2257263600002656</t>
        </is>
      </c>
      <c r="AZ880" t="inlineStr">
        <is>
          <t>BOOK</t>
        </is>
      </c>
      <c r="BB880" t="inlineStr">
        <is>
          <t>9780803933422</t>
        </is>
      </c>
      <c r="BC880" t="inlineStr">
        <is>
          <t>32285000028554</t>
        </is>
      </c>
      <c r="BD880" t="inlineStr">
        <is>
          <t>893797488</t>
        </is>
      </c>
    </row>
    <row r="881">
      <c r="A881" t="inlineStr">
        <is>
          <t>No</t>
        </is>
      </c>
      <c r="B881" t="inlineStr">
        <is>
          <t>HV6791 .W74 1983</t>
        </is>
      </c>
      <c r="C881" t="inlineStr">
        <is>
          <t>0                      HV 6791000W  74          1983</t>
        </is>
      </c>
      <c r="D881" t="inlineStr">
        <is>
          <t>Under the gun : weapons, crime, and violence in America / by James D. Wright, Peter H. Rossi, and Kathleen Daly.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Wright, James D.</t>
        </is>
      </c>
      <c r="L881" t="inlineStr">
        <is>
          <t>New York : Aldine Pub. Co., c1983.</t>
        </is>
      </c>
      <c r="M881" t="inlineStr">
        <is>
          <t>1983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HV </t>
        </is>
      </c>
      <c r="S881" t="n">
        <v>13</v>
      </c>
      <c r="T881" t="n">
        <v>13</v>
      </c>
      <c r="U881" t="inlineStr">
        <is>
          <t>1998-04-15</t>
        </is>
      </c>
      <c r="V881" t="inlineStr">
        <is>
          <t>1998-04-15</t>
        </is>
      </c>
      <c r="W881" t="inlineStr">
        <is>
          <t>1992-07-14</t>
        </is>
      </c>
      <c r="X881" t="inlineStr">
        <is>
          <t>1992-07-14</t>
        </is>
      </c>
      <c r="Y881" t="n">
        <v>918</v>
      </c>
      <c r="Z881" t="n">
        <v>812</v>
      </c>
      <c r="AA881" t="n">
        <v>821</v>
      </c>
      <c r="AB881" t="n">
        <v>7</v>
      </c>
      <c r="AC881" t="n">
        <v>7</v>
      </c>
      <c r="AD881" t="n">
        <v>47</v>
      </c>
      <c r="AE881" t="n">
        <v>47</v>
      </c>
      <c r="AF881" t="n">
        <v>18</v>
      </c>
      <c r="AG881" t="n">
        <v>18</v>
      </c>
      <c r="AH881" t="n">
        <v>8</v>
      </c>
      <c r="AI881" t="n">
        <v>8</v>
      </c>
      <c r="AJ881" t="n">
        <v>17</v>
      </c>
      <c r="AK881" t="n">
        <v>17</v>
      </c>
      <c r="AL881" t="n">
        <v>5</v>
      </c>
      <c r="AM881" t="n">
        <v>5</v>
      </c>
      <c r="AN881" t="n">
        <v>9</v>
      </c>
      <c r="AO881" t="n">
        <v>9</v>
      </c>
      <c r="AP881" t="inlineStr">
        <is>
          <t>No</t>
        </is>
      </c>
      <c r="AQ881" t="inlineStr">
        <is>
          <t>No</t>
        </is>
      </c>
      <c r="AS881">
        <f>HYPERLINK("https://creighton-primo.hosted.exlibrisgroup.com/primo-explore/search?tab=default_tab&amp;search_scope=EVERYTHING&amp;vid=01CRU&amp;lang=en_US&amp;offset=0&amp;query=any,contains,991000164529702656","Catalog Record")</f>
        <v/>
      </c>
      <c r="AT881">
        <f>HYPERLINK("http://www.worldcat.org/oclc/9282412","WorldCat Record")</f>
        <v/>
      </c>
      <c r="AU881" t="inlineStr">
        <is>
          <t>3856131896:eng</t>
        </is>
      </c>
      <c r="AV881" t="inlineStr">
        <is>
          <t>9282412</t>
        </is>
      </c>
      <c r="AW881" t="inlineStr">
        <is>
          <t>991000164529702656</t>
        </is>
      </c>
      <c r="AX881" t="inlineStr">
        <is>
          <t>991000164529702656</t>
        </is>
      </c>
      <c r="AY881" t="inlineStr">
        <is>
          <t>2259995720002656</t>
        </is>
      </c>
      <c r="AZ881" t="inlineStr">
        <is>
          <t>BOOK</t>
        </is>
      </c>
      <c r="BB881" t="inlineStr">
        <is>
          <t>9780202303055</t>
        </is>
      </c>
      <c r="BC881" t="inlineStr">
        <is>
          <t>32285001182061</t>
        </is>
      </c>
      <c r="BD881" t="inlineStr">
        <is>
          <t>893890472</t>
        </is>
      </c>
    </row>
    <row r="882">
      <c r="A882" t="inlineStr">
        <is>
          <t>No</t>
        </is>
      </c>
      <c r="B882" t="inlineStr">
        <is>
          <t>HV6793.O7 J46 2006</t>
        </is>
      </c>
      <c r="C882" t="inlineStr">
        <is>
          <t>0                      HV 6793000O  7                  J  46          2006</t>
        </is>
      </c>
      <c r="D882" t="inlineStr">
        <is>
          <t>Strange piece of paradise / Terri Jentz.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Jentz, Terri, 1957-</t>
        </is>
      </c>
      <c r="L882" t="inlineStr">
        <is>
          <t>New York : Farrar, Straus and Giroux, 2006.</t>
        </is>
      </c>
      <c r="M882" t="inlineStr">
        <is>
          <t>2006</t>
        </is>
      </c>
      <c r="N882" t="inlineStr">
        <is>
          <t>1st ed.</t>
        </is>
      </c>
      <c r="O882" t="inlineStr">
        <is>
          <t>eng</t>
        </is>
      </c>
      <c r="P882" t="inlineStr">
        <is>
          <t>nyu</t>
        </is>
      </c>
      <c r="R882" t="inlineStr">
        <is>
          <t xml:space="preserve">HV </t>
        </is>
      </c>
      <c r="S882" t="n">
        <v>4</v>
      </c>
      <c r="T882" t="n">
        <v>4</v>
      </c>
      <c r="U882" t="inlineStr">
        <is>
          <t>2010-03-24</t>
        </is>
      </c>
      <c r="V882" t="inlineStr">
        <is>
          <t>2010-03-24</t>
        </is>
      </c>
      <c r="W882" t="inlineStr">
        <is>
          <t>2006-06-26</t>
        </is>
      </c>
      <c r="X882" t="inlineStr">
        <is>
          <t>2006-06-26</t>
        </is>
      </c>
      <c r="Y882" t="n">
        <v>1125</v>
      </c>
      <c r="Z882" t="n">
        <v>1087</v>
      </c>
      <c r="AA882" t="n">
        <v>1171</v>
      </c>
      <c r="AB882" t="n">
        <v>9</v>
      </c>
      <c r="AC882" t="n">
        <v>9</v>
      </c>
      <c r="AD882" t="n">
        <v>13</v>
      </c>
      <c r="AE882" t="n">
        <v>13</v>
      </c>
      <c r="AF882" t="n">
        <v>4</v>
      </c>
      <c r="AG882" t="n">
        <v>4</v>
      </c>
      <c r="AH882" t="n">
        <v>3</v>
      </c>
      <c r="AI882" t="n">
        <v>3</v>
      </c>
      <c r="AJ882" t="n">
        <v>6</v>
      </c>
      <c r="AK882" t="n">
        <v>6</v>
      </c>
      <c r="AL882" t="n">
        <v>3</v>
      </c>
      <c r="AM882" t="n">
        <v>3</v>
      </c>
      <c r="AN882" t="n">
        <v>0</v>
      </c>
      <c r="AO882" t="n">
        <v>0</v>
      </c>
      <c r="AP882" t="inlineStr">
        <is>
          <t>No</t>
        </is>
      </c>
      <c r="AQ882" t="inlineStr">
        <is>
          <t>No</t>
        </is>
      </c>
      <c r="AS882">
        <f>HYPERLINK("https://creighton-primo.hosted.exlibrisgroup.com/primo-explore/search?tab=default_tab&amp;search_scope=EVERYTHING&amp;vid=01CRU&amp;lang=en_US&amp;offset=0&amp;query=any,contains,991004834069702656","Catalog Record")</f>
        <v/>
      </c>
      <c r="AT882">
        <f>HYPERLINK("http://www.worldcat.org/oclc/65186350","WorldCat Record")</f>
        <v/>
      </c>
      <c r="AU882" t="inlineStr">
        <is>
          <t>49039531:eng</t>
        </is>
      </c>
      <c r="AV882" t="inlineStr">
        <is>
          <t>65186350</t>
        </is>
      </c>
      <c r="AW882" t="inlineStr">
        <is>
          <t>991004834069702656</t>
        </is>
      </c>
      <c r="AX882" t="inlineStr">
        <is>
          <t>991004834069702656</t>
        </is>
      </c>
      <c r="AY882" t="inlineStr">
        <is>
          <t>2264147490002656</t>
        </is>
      </c>
      <c r="AZ882" t="inlineStr">
        <is>
          <t>BOOK</t>
        </is>
      </c>
      <c r="BB882" t="inlineStr">
        <is>
          <t>9780374134983</t>
        </is>
      </c>
      <c r="BC882" t="inlineStr">
        <is>
          <t>32285005192595</t>
        </is>
      </c>
      <c r="BD882" t="inlineStr">
        <is>
          <t>893606514</t>
        </is>
      </c>
    </row>
    <row r="883">
      <c r="A883" t="inlineStr">
        <is>
          <t>No</t>
        </is>
      </c>
      <c r="B883" t="inlineStr">
        <is>
          <t>HV6795.C4 A65 1970</t>
        </is>
      </c>
      <c r="C883" t="inlineStr">
        <is>
          <t>0                      HV 6795000C  4                  A  65          1970</t>
        </is>
      </c>
      <c r="D883" t="inlineStr">
        <is>
          <t>The bootleggers : the story of Chicago's prohibition era.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Allsop, Kenneth, 1920-1973.</t>
        </is>
      </c>
      <c r="L883" t="inlineStr">
        <is>
          <t>New Rochelle, N.Y. : Arlington House, [1970], c1968.</t>
        </is>
      </c>
      <c r="M883" t="inlineStr">
        <is>
          <t>1970</t>
        </is>
      </c>
      <c r="O883" t="inlineStr">
        <is>
          <t>eng</t>
        </is>
      </c>
      <c r="P883" t="inlineStr">
        <is>
          <t>nyu</t>
        </is>
      </c>
      <c r="R883" t="inlineStr">
        <is>
          <t xml:space="preserve">HV </t>
        </is>
      </c>
      <c r="S883" t="n">
        <v>20</v>
      </c>
      <c r="T883" t="n">
        <v>20</v>
      </c>
      <c r="U883" t="inlineStr">
        <is>
          <t>2007-02-28</t>
        </is>
      </c>
      <c r="V883" t="inlineStr">
        <is>
          <t>2007-02-28</t>
        </is>
      </c>
      <c r="W883" t="inlineStr">
        <is>
          <t>1992-02-14</t>
        </is>
      </c>
      <c r="X883" t="inlineStr">
        <is>
          <t>1992-02-14</t>
        </is>
      </c>
      <c r="Y883" t="n">
        <v>200</v>
      </c>
      <c r="Z883" t="n">
        <v>194</v>
      </c>
      <c r="AA883" t="n">
        <v>319</v>
      </c>
      <c r="AB883" t="n">
        <v>3</v>
      </c>
      <c r="AC883" t="n">
        <v>4</v>
      </c>
      <c r="AD883" t="n">
        <v>3</v>
      </c>
      <c r="AE883" t="n">
        <v>10</v>
      </c>
      <c r="AF883" t="n">
        <v>0</v>
      </c>
      <c r="AG883" t="n">
        <v>2</v>
      </c>
      <c r="AH883" t="n">
        <v>2</v>
      </c>
      <c r="AI883" t="n">
        <v>5</v>
      </c>
      <c r="AJ883" t="n">
        <v>1</v>
      </c>
      <c r="AK883" t="n">
        <v>5</v>
      </c>
      <c r="AL883" t="n">
        <v>1</v>
      </c>
      <c r="AM883" t="n">
        <v>1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HYPERLINK("http://catalog.hathitrust.org/Record/011239032","HathiTrust Record")</f>
        <v/>
      </c>
      <c r="AS883">
        <f>HYPERLINK("https://creighton-primo.hosted.exlibrisgroup.com/primo-explore/search?tab=default_tab&amp;search_scope=EVERYTHING&amp;vid=01CRU&amp;lang=en_US&amp;offset=0&amp;query=any,contains,991000512459702656","Catalog Record")</f>
        <v/>
      </c>
      <c r="AT883">
        <f>HYPERLINK("http://www.worldcat.org/oclc/83980","WorldCat Record")</f>
        <v/>
      </c>
      <c r="AU883" t="inlineStr">
        <is>
          <t>367751323:eng</t>
        </is>
      </c>
      <c r="AV883" t="inlineStr">
        <is>
          <t>83980</t>
        </is>
      </c>
      <c r="AW883" t="inlineStr">
        <is>
          <t>991000512459702656</t>
        </is>
      </c>
      <c r="AX883" t="inlineStr">
        <is>
          <t>991000512459702656</t>
        </is>
      </c>
      <c r="AY883" t="inlineStr">
        <is>
          <t>2272553090002656</t>
        </is>
      </c>
      <c r="AZ883" t="inlineStr">
        <is>
          <t>BOOK</t>
        </is>
      </c>
      <c r="BB883" t="inlineStr">
        <is>
          <t>9780870000942</t>
        </is>
      </c>
      <c r="BC883" t="inlineStr">
        <is>
          <t>32285000936582</t>
        </is>
      </c>
      <c r="BD883" t="inlineStr">
        <is>
          <t>893689765</t>
        </is>
      </c>
    </row>
    <row r="884">
      <c r="A884" t="inlineStr">
        <is>
          <t>No</t>
        </is>
      </c>
      <c r="B884" t="inlineStr">
        <is>
          <t>HV6864.Z8 B35 2002</t>
        </is>
      </c>
      <c r="C884" t="inlineStr">
        <is>
          <t>0                      HV 6864000Z  8                  B  35          2002</t>
        </is>
      </c>
      <c r="D884" t="inlineStr">
        <is>
          <t>Distribuciaon geograafica del crimen : ligeras apuntaciones e interpretaciones del delito en la frontera sur (Provincia Bahoruco) / Freddy M. Prestol Castillo.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Prestol Castillo, Freddy.</t>
        </is>
      </c>
      <c r="L884" t="inlineStr">
        <is>
          <t>Santo Domingo, Repaublica Dominicana : [s.n.], 2002, c2001.</t>
        </is>
      </c>
      <c r="M884" t="inlineStr">
        <is>
          <t>2002</t>
        </is>
      </c>
      <c r="O884" t="inlineStr">
        <is>
          <t>spa</t>
        </is>
      </c>
      <c r="P884" t="inlineStr">
        <is>
          <t xml:space="preserve">dr </t>
        </is>
      </c>
      <c r="Q884" t="inlineStr">
        <is>
          <t>Pensamiento criminolaogico dominicano ; 2</t>
        </is>
      </c>
      <c r="R884" t="inlineStr">
        <is>
          <t xml:space="preserve">HV </t>
        </is>
      </c>
      <c r="S884" t="n">
        <v>1</v>
      </c>
      <c r="T884" t="n">
        <v>1</v>
      </c>
      <c r="U884" t="inlineStr">
        <is>
          <t>2007-04-09</t>
        </is>
      </c>
      <c r="V884" t="inlineStr">
        <is>
          <t>2007-04-09</t>
        </is>
      </c>
      <c r="W884" t="inlineStr">
        <is>
          <t>2004-09-22</t>
        </is>
      </c>
      <c r="X884" t="inlineStr">
        <is>
          <t>2004-09-22</t>
        </is>
      </c>
      <c r="Y884" t="n">
        <v>10</v>
      </c>
      <c r="Z884" t="n">
        <v>10</v>
      </c>
      <c r="AA884" t="n">
        <v>10</v>
      </c>
      <c r="AB884" t="n">
        <v>1</v>
      </c>
      <c r="AC884" t="n">
        <v>1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HYPERLINK("https://creighton-primo.hosted.exlibrisgroup.com/primo-explore/search?tab=default_tab&amp;search_scope=EVERYTHING&amp;vid=01CRU&amp;lang=en_US&amp;offset=0&amp;query=any,contains,991004381619702656","Catalog Record")</f>
        <v/>
      </c>
      <c r="AT884">
        <f>HYPERLINK("http://www.worldcat.org/oclc/56122354","WorldCat Record")</f>
        <v/>
      </c>
      <c r="AU884" t="inlineStr">
        <is>
          <t>5615083938:spa</t>
        </is>
      </c>
      <c r="AV884" t="inlineStr">
        <is>
          <t>56122354</t>
        </is>
      </c>
      <c r="AW884" t="inlineStr">
        <is>
          <t>991004381619702656</t>
        </is>
      </c>
      <c r="AX884" t="inlineStr">
        <is>
          <t>991004381619702656</t>
        </is>
      </c>
      <c r="AY884" t="inlineStr">
        <is>
          <t>2259855160002656</t>
        </is>
      </c>
      <c r="AZ884" t="inlineStr">
        <is>
          <t>BOOK</t>
        </is>
      </c>
      <c r="BB884" t="inlineStr">
        <is>
          <t>9789993483519</t>
        </is>
      </c>
      <c r="BC884" t="inlineStr">
        <is>
          <t>32285004988282</t>
        </is>
      </c>
      <c r="BD884" t="inlineStr">
        <is>
          <t>893411457</t>
        </is>
      </c>
    </row>
    <row r="885">
      <c r="A885" t="inlineStr">
        <is>
          <t>No</t>
        </is>
      </c>
      <c r="B885" t="inlineStr">
        <is>
          <t>HV687 .C68 2000</t>
        </is>
      </c>
      <c r="C885" t="inlineStr">
        <is>
          <t>0                      HV 0687000C  68          2000</t>
        </is>
      </c>
      <c r="D885" t="inlineStr">
        <is>
          <t>Social work in the health field : a care perspective / Lois A. Fort Cowles.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Cowles, Lois A. Fort.</t>
        </is>
      </c>
      <c r="L885" t="inlineStr">
        <is>
          <t>New York : Haworth Press, c2000.</t>
        </is>
      </c>
      <c r="M885" t="inlineStr">
        <is>
          <t>2000</t>
        </is>
      </c>
      <c r="O885" t="inlineStr">
        <is>
          <t>eng</t>
        </is>
      </c>
      <c r="P885" t="inlineStr">
        <is>
          <t>nyu</t>
        </is>
      </c>
      <c r="R885" t="inlineStr">
        <is>
          <t xml:space="preserve">HV </t>
        </is>
      </c>
      <c r="S885" t="n">
        <v>1</v>
      </c>
      <c r="T885" t="n">
        <v>1</v>
      </c>
      <c r="U885" t="inlineStr">
        <is>
          <t>2007-03-14</t>
        </is>
      </c>
      <c r="V885" t="inlineStr">
        <is>
          <t>2007-03-14</t>
        </is>
      </c>
      <c r="W885" t="inlineStr">
        <is>
          <t>2000-01-27</t>
        </is>
      </c>
      <c r="X885" t="inlineStr">
        <is>
          <t>2000-01-27</t>
        </is>
      </c>
      <c r="Y885" t="n">
        <v>410</v>
      </c>
      <c r="Z885" t="n">
        <v>353</v>
      </c>
      <c r="AA885" t="n">
        <v>982</v>
      </c>
      <c r="AB885" t="n">
        <v>6</v>
      </c>
      <c r="AC885" t="n">
        <v>13</v>
      </c>
      <c r="AD885" t="n">
        <v>23</v>
      </c>
      <c r="AE885" t="n">
        <v>45</v>
      </c>
      <c r="AF885" t="n">
        <v>11</v>
      </c>
      <c r="AG885" t="n">
        <v>16</v>
      </c>
      <c r="AH885" t="n">
        <v>4</v>
      </c>
      <c r="AI885" t="n">
        <v>10</v>
      </c>
      <c r="AJ885" t="n">
        <v>7</v>
      </c>
      <c r="AK885" t="n">
        <v>14</v>
      </c>
      <c r="AL885" t="n">
        <v>5</v>
      </c>
      <c r="AM885" t="n">
        <v>11</v>
      </c>
      <c r="AN885" t="n">
        <v>0</v>
      </c>
      <c r="AO885" t="n">
        <v>1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HYPERLINK("http://catalog.hathitrust.org/Record/004129645","HathiTrust Record")</f>
        <v/>
      </c>
      <c r="AS885">
        <f>HYPERLINK("https://creighton-primo.hosted.exlibrisgroup.com/primo-explore/search?tab=default_tab&amp;search_scope=EVERYTHING&amp;vid=01CRU&amp;lang=en_US&amp;offset=0&amp;query=any,contains,991003028849702656","Catalog Record")</f>
        <v/>
      </c>
      <c r="AT885">
        <f>HYPERLINK("http://www.worldcat.org/oclc/41445645","WorldCat Record")</f>
        <v/>
      </c>
      <c r="AU885" t="inlineStr">
        <is>
          <t>825541036:eng</t>
        </is>
      </c>
      <c r="AV885" t="inlineStr">
        <is>
          <t>41445645</t>
        </is>
      </c>
      <c r="AW885" t="inlineStr">
        <is>
          <t>991003028849702656</t>
        </is>
      </c>
      <c r="AX885" t="inlineStr">
        <is>
          <t>991003028849702656</t>
        </is>
      </c>
      <c r="AY885" t="inlineStr">
        <is>
          <t>2269383600002656</t>
        </is>
      </c>
      <c r="AZ885" t="inlineStr">
        <is>
          <t>BOOK</t>
        </is>
      </c>
      <c r="BB885" t="inlineStr">
        <is>
          <t>9780789009135</t>
        </is>
      </c>
      <c r="BC885" t="inlineStr">
        <is>
          <t>32285003656344</t>
        </is>
      </c>
      <c r="BD885" t="inlineStr">
        <is>
          <t>893409841</t>
        </is>
      </c>
    </row>
    <row r="886">
      <c r="A886" t="inlineStr">
        <is>
          <t>No</t>
        </is>
      </c>
      <c r="B886" t="inlineStr">
        <is>
          <t>HV687.5.U5 D95 2004</t>
        </is>
      </c>
      <c r="C886" t="inlineStr">
        <is>
          <t>0                      HV 0687500U  5                  D  95          2004</t>
        </is>
      </c>
      <c r="D886" t="inlineStr">
        <is>
          <t>The changing face of health care social work : professional practice in managed behavioral health care / Sophia F. Dziegielewski with contributors.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Dziegielewski, Sophia F.</t>
        </is>
      </c>
      <c r="L886" t="inlineStr">
        <is>
          <t>New York : Springer Pub. Co., c2004.</t>
        </is>
      </c>
      <c r="M886" t="inlineStr">
        <is>
          <t>2004</t>
        </is>
      </c>
      <c r="N886" t="inlineStr">
        <is>
          <t>2nd ed.</t>
        </is>
      </c>
      <c r="O886" t="inlineStr">
        <is>
          <t>eng</t>
        </is>
      </c>
      <c r="P886" t="inlineStr">
        <is>
          <t>nyu</t>
        </is>
      </c>
      <c r="Q886" t="inlineStr">
        <is>
          <t>Springer series on social work</t>
        </is>
      </c>
      <c r="R886" t="inlineStr">
        <is>
          <t xml:space="preserve">HV </t>
        </is>
      </c>
      <c r="S886" t="n">
        <v>2</v>
      </c>
      <c r="T886" t="n">
        <v>2</v>
      </c>
      <c r="U886" t="inlineStr">
        <is>
          <t>2005-01-17</t>
        </is>
      </c>
      <c r="V886" t="inlineStr">
        <is>
          <t>2005-01-17</t>
        </is>
      </c>
      <c r="W886" t="inlineStr">
        <is>
          <t>2005-01-17</t>
        </is>
      </c>
      <c r="X886" t="inlineStr">
        <is>
          <t>2005-01-17</t>
        </is>
      </c>
      <c r="Y886" t="n">
        <v>213</v>
      </c>
      <c r="Z886" t="n">
        <v>171</v>
      </c>
      <c r="AA886" t="n">
        <v>200</v>
      </c>
      <c r="AB886" t="n">
        <v>2</v>
      </c>
      <c r="AC886" t="n">
        <v>2</v>
      </c>
      <c r="AD886" t="n">
        <v>6</v>
      </c>
      <c r="AE886" t="n">
        <v>6</v>
      </c>
      <c r="AF886" t="n">
        <v>2</v>
      </c>
      <c r="AG886" t="n">
        <v>2</v>
      </c>
      <c r="AH886" t="n">
        <v>1</v>
      </c>
      <c r="AI886" t="n">
        <v>1</v>
      </c>
      <c r="AJ886" t="n">
        <v>3</v>
      </c>
      <c r="AK886" t="n">
        <v>3</v>
      </c>
      <c r="AL886" t="n">
        <v>1</v>
      </c>
      <c r="AM886" t="n">
        <v>1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HYPERLINK("http://catalog.hathitrust.org/Record/004366278","HathiTrust Record")</f>
        <v/>
      </c>
      <c r="AS886">
        <f>HYPERLINK("https://creighton-primo.hosted.exlibrisgroup.com/primo-explore/search?tab=default_tab&amp;search_scope=EVERYTHING&amp;vid=01CRU&amp;lang=en_US&amp;offset=0&amp;query=any,contains,991004424439702656","Catalog Record")</f>
        <v/>
      </c>
      <c r="AT886">
        <f>HYPERLINK("http://www.worldcat.org/oclc/52594609","WorldCat Record")</f>
        <v/>
      </c>
      <c r="AU886" t="inlineStr">
        <is>
          <t>3857309008:eng</t>
        </is>
      </c>
      <c r="AV886" t="inlineStr">
        <is>
          <t>52594609</t>
        </is>
      </c>
      <c r="AW886" t="inlineStr">
        <is>
          <t>991004424439702656</t>
        </is>
      </c>
      <c r="AX886" t="inlineStr">
        <is>
          <t>991004424439702656</t>
        </is>
      </c>
      <c r="AY886" t="inlineStr">
        <is>
          <t>2267138710002656</t>
        </is>
      </c>
      <c r="AZ886" t="inlineStr">
        <is>
          <t>BOOK</t>
        </is>
      </c>
      <c r="BB886" t="inlineStr">
        <is>
          <t>9780826181459</t>
        </is>
      </c>
      <c r="BC886" t="inlineStr">
        <is>
          <t>32285005021422</t>
        </is>
      </c>
      <c r="BD886" t="inlineStr">
        <is>
          <t>893349982</t>
        </is>
      </c>
    </row>
    <row r="887">
      <c r="A887" t="inlineStr">
        <is>
          <t>No</t>
        </is>
      </c>
      <c r="B887" t="inlineStr">
        <is>
          <t>HV687.5.U5 S63 1986</t>
        </is>
      </c>
      <c r="C887" t="inlineStr">
        <is>
          <t>0                      HV 0687500U  5                  S  63          1986</t>
        </is>
      </c>
      <c r="D887" t="inlineStr">
        <is>
          <t>Social work and Alzheimer's disease : practice issues with victims and their families / Rose Dobrof, editor.</t>
        </is>
      </c>
      <c r="F887" t="inlineStr">
        <is>
          <t>No</t>
        </is>
      </c>
      <c r="G887" t="inlineStr">
        <is>
          <t>1</t>
        </is>
      </c>
      <c r="H887" t="inlineStr">
        <is>
          <t>Yes</t>
        </is>
      </c>
      <c r="I887" t="inlineStr">
        <is>
          <t>No</t>
        </is>
      </c>
      <c r="J887" t="inlineStr">
        <is>
          <t>0</t>
        </is>
      </c>
      <c r="L887" t="inlineStr">
        <is>
          <t>New York : Haworth Press, c1986.</t>
        </is>
      </c>
      <c r="M887" t="inlineStr">
        <is>
          <t>1986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HV </t>
        </is>
      </c>
      <c r="S887" t="n">
        <v>2</v>
      </c>
      <c r="T887" t="n">
        <v>8</v>
      </c>
      <c r="U887" t="inlineStr">
        <is>
          <t>1994-02-22</t>
        </is>
      </c>
      <c r="V887" t="inlineStr">
        <is>
          <t>1996-04-15</t>
        </is>
      </c>
      <c r="W887" t="inlineStr">
        <is>
          <t>1993-06-03</t>
        </is>
      </c>
      <c r="X887" t="inlineStr">
        <is>
          <t>1993-06-03</t>
        </is>
      </c>
      <c r="Y887" t="n">
        <v>281</v>
      </c>
      <c r="Z887" t="n">
        <v>244</v>
      </c>
      <c r="AA887" t="n">
        <v>437</v>
      </c>
      <c r="AB887" t="n">
        <v>2</v>
      </c>
      <c r="AC887" t="n">
        <v>4</v>
      </c>
      <c r="AD887" t="n">
        <v>10</v>
      </c>
      <c r="AE887" t="n">
        <v>21</v>
      </c>
      <c r="AF887" t="n">
        <v>4</v>
      </c>
      <c r="AG887" t="n">
        <v>11</v>
      </c>
      <c r="AH887" t="n">
        <v>2</v>
      </c>
      <c r="AI887" t="n">
        <v>3</v>
      </c>
      <c r="AJ887" t="n">
        <v>6</v>
      </c>
      <c r="AK887" t="n">
        <v>8</v>
      </c>
      <c r="AL887" t="n">
        <v>0</v>
      </c>
      <c r="AM887" t="n">
        <v>2</v>
      </c>
      <c r="AN887" t="n">
        <v>0</v>
      </c>
      <c r="AO887" t="n">
        <v>0</v>
      </c>
      <c r="AP887" t="inlineStr">
        <is>
          <t>No</t>
        </is>
      </c>
      <c r="AQ887" t="inlineStr">
        <is>
          <t>Yes</t>
        </is>
      </c>
      <c r="AR887">
        <f>HYPERLINK("http://catalog.hathitrust.org/Record/000912322","HathiTrust Record")</f>
        <v/>
      </c>
      <c r="AS887">
        <f>HYPERLINK("https://creighton-primo.hosted.exlibrisgroup.com/primo-explore/search?tab=default_tab&amp;search_scope=EVERYTHING&amp;vid=01CRU&amp;lang=en_US&amp;offset=0&amp;query=any,contains,991001786779702656","Catalog Record")</f>
        <v/>
      </c>
      <c r="AT887">
        <f>HYPERLINK("http://www.worldcat.org/oclc/12664141","WorldCat Record")</f>
        <v/>
      </c>
      <c r="AU887" t="inlineStr">
        <is>
          <t>54748895:eng</t>
        </is>
      </c>
      <c r="AV887" t="inlineStr">
        <is>
          <t>12664141</t>
        </is>
      </c>
      <c r="AW887" t="inlineStr">
        <is>
          <t>991001786779702656</t>
        </is>
      </c>
      <c r="AX887" t="inlineStr">
        <is>
          <t>991001786779702656</t>
        </is>
      </c>
      <c r="AY887" t="inlineStr">
        <is>
          <t>2264894910002656</t>
        </is>
      </c>
      <c r="AZ887" t="inlineStr">
        <is>
          <t>BOOK</t>
        </is>
      </c>
      <c r="BB887" t="inlineStr">
        <is>
          <t>9780866564021</t>
        </is>
      </c>
      <c r="BC887" t="inlineStr">
        <is>
          <t>32285001717619</t>
        </is>
      </c>
      <c r="BD887" t="inlineStr">
        <is>
          <t>893891838</t>
        </is>
      </c>
    </row>
    <row r="888">
      <c r="A888" t="inlineStr">
        <is>
          <t>No</t>
        </is>
      </c>
      <c r="B888" t="inlineStr">
        <is>
          <t>HV69 .I57 2006</t>
        </is>
      </c>
      <c r="C888" t="inlineStr">
        <is>
          <t>0                      HV 0069000I  57          2006</t>
        </is>
      </c>
      <c r="D888" t="inlineStr">
        <is>
          <t>International perspectives on welfare to work policy / Richard Hoefer, James Midgley, editors.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L888" t="inlineStr">
        <is>
          <t>New York : Haworth Press, c2006.</t>
        </is>
      </c>
      <c r="M888" t="inlineStr">
        <is>
          <t>2006</t>
        </is>
      </c>
      <c r="O888" t="inlineStr">
        <is>
          <t>eng</t>
        </is>
      </c>
      <c r="P888" t="inlineStr">
        <is>
          <t>nyu</t>
        </is>
      </c>
      <c r="R888" t="inlineStr">
        <is>
          <t xml:space="preserve">HV </t>
        </is>
      </c>
      <c r="S888" t="n">
        <v>1</v>
      </c>
      <c r="T888" t="n">
        <v>1</v>
      </c>
      <c r="U888" t="inlineStr">
        <is>
          <t>2006-12-11</t>
        </is>
      </c>
      <c r="V888" t="inlineStr">
        <is>
          <t>2006-12-11</t>
        </is>
      </c>
      <c r="W888" t="inlineStr">
        <is>
          <t>2006-12-11</t>
        </is>
      </c>
      <c r="X888" t="inlineStr">
        <is>
          <t>2006-12-11</t>
        </is>
      </c>
      <c r="Y888" t="n">
        <v>111</v>
      </c>
      <c r="Z888" t="n">
        <v>64</v>
      </c>
      <c r="AA888" t="n">
        <v>92</v>
      </c>
      <c r="AB888" t="n">
        <v>2</v>
      </c>
      <c r="AC888" t="n">
        <v>2</v>
      </c>
      <c r="AD888" t="n">
        <v>4</v>
      </c>
      <c r="AE888" t="n">
        <v>4</v>
      </c>
      <c r="AF888" t="n">
        <v>1</v>
      </c>
      <c r="AG888" t="n">
        <v>1</v>
      </c>
      <c r="AH888" t="n">
        <v>1</v>
      </c>
      <c r="AI888" t="n">
        <v>1</v>
      </c>
      <c r="AJ888" t="n">
        <v>2</v>
      </c>
      <c r="AK888" t="n">
        <v>2</v>
      </c>
      <c r="AL888" t="n">
        <v>1</v>
      </c>
      <c r="AM888" t="n">
        <v>1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HYPERLINK("https://creighton-primo.hosted.exlibrisgroup.com/primo-explore/search?tab=default_tab&amp;search_scope=EVERYTHING&amp;vid=01CRU&amp;lang=en_US&amp;offset=0&amp;query=any,contains,991004985399702656","Catalog Record")</f>
        <v/>
      </c>
      <c r="AT888">
        <f>HYPERLINK("http://www.worldcat.org/oclc/63125897","WorldCat Record")</f>
        <v/>
      </c>
      <c r="AU888" t="inlineStr">
        <is>
          <t>363960705:eng</t>
        </is>
      </c>
      <c r="AV888" t="inlineStr">
        <is>
          <t>63125897</t>
        </is>
      </c>
      <c r="AW888" t="inlineStr">
        <is>
          <t>991004985399702656</t>
        </is>
      </c>
      <c r="AX888" t="inlineStr">
        <is>
          <t>991004985399702656</t>
        </is>
      </c>
      <c r="AY888" t="inlineStr">
        <is>
          <t>2269931470002656</t>
        </is>
      </c>
      <c r="AZ888" t="inlineStr">
        <is>
          <t>BOOK</t>
        </is>
      </c>
      <c r="BB888" t="inlineStr">
        <is>
          <t>9780789033673</t>
        </is>
      </c>
      <c r="BC888" t="inlineStr">
        <is>
          <t>32285005266076</t>
        </is>
      </c>
      <c r="BD888" t="inlineStr">
        <is>
          <t>893332245</t>
        </is>
      </c>
    </row>
    <row r="889">
      <c r="A889" t="inlineStr">
        <is>
          <t>No</t>
        </is>
      </c>
      <c r="B889" t="inlineStr">
        <is>
          <t>HV6943 .H47</t>
        </is>
      </c>
      <c r="C889" t="inlineStr">
        <is>
          <t>0                      HV 6943000H  47</t>
        </is>
      </c>
      <c r="D889" t="inlineStr">
        <is>
          <t>Tales from the Newgate calendar / Rayner Heppenstall.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Heppenstall, Rayner, 1911-1981.</t>
        </is>
      </c>
      <c r="L889" t="inlineStr">
        <is>
          <t>London : Constable, 1981.</t>
        </is>
      </c>
      <c r="M889" t="inlineStr">
        <is>
          <t>1981</t>
        </is>
      </c>
      <c r="O889" t="inlineStr">
        <is>
          <t>eng</t>
        </is>
      </c>
      <c r="P889" t="inlineStr">
        <is>
          <t>enk</t>
        </is>
      </c>
      <c r="R889" t="inlineStr">
        <is>
          <t xml:space="preserve">HV </t>
        </is>
      </c>
      <c r="S889" t="n">
        <v>1</v>
      </c>
      <c r="T889" t="n">
        <v>1</v>
      </c>
      <c r="U889" t="inlineStr">
        <is>
          <t>2002-11-08</t>
        </is>
      </c>
      <c r="V889" t="inlineStr">
        <is>
          <t>2002-11-08</t>
        </is>
      </c>
      <c r="W889" t="inlineStr">
        <is>
          <t>1992-07-14</t>
        </is>
      </c>
      <c r="X889" t="inlineStr">
        <is>
          <t>1992-07-14</t>
        </is>
      </c>
      <c r="Y889" t="n">
        <v>86</v>
      </c>
      <c r="Z889" t="n">
        <v>29</v>
      </c>
      <c r="AA889" t="n">
        <v>32</v>
      </c>
      <c r="AB889" t="n">
        <v>1</v>
      </c>
      <c r="AC889" t="n">
        <v>1</v>
      </c>
      <c r="AD889" t="n">
        <v>1</v>
      </c>
      <c r="AE889" t="n">
        <v>1</v>
      </c>
      <c r="AF889" t="n">
        <v>0</v>
      </c>
      <c r="AG889" t="n">
        <v>0</v>
      </c>
      <c r="AH889" t="n">
        <v>0</v>
      </c>
      <c r="AI889" t="n">
        <v>0</v>
      </c>
      <c r="AJ889" t="n">
        <v>0</v>
      </c>
      <c r="AK889" t="n">
        <v>0</v>
      </c>
      <c r="AL889" t="n">
        <v>0</v>
      </c>
      <c r="AM889" t="n">
        <v>0</v>
      </c>
      <c r="AN889" t="n">
        <v>1</v>
      </c>
      <c r="AO889" t="n">
        <v>1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HYPERLINK("http://catalog.hathitrust.org/Record/000186496","HathiTrust Record")</f>
        <v/>
      </c>
      <c r="AS889">
        <f>HYPERLINK("https://creighton-primo.hosted.exlibrisgroup.com/primo-explore/search?tab=default_tab&amp;search_scope=EVERYTHING&amp;vid=01CRU&amp;lang=en_US&amp;offset=0&amp;query=any,contains,991005200789702656","Catalog Record")</f>
        <v/>
      </c>
      <c r="AT889">
        <f>HYPERLINK("http://www.worldcat.org/oclc/8074599","WorldCat Record")</f>
        <v/>
      </c>
      <c r="AU889" t="inlineStr">
        <is>
          <t>367623261:eng</t>
        </is>
      </c>
      <c r="AV889" t="inlineStr">
        <is>
          <t>8074599</t>
        </is>
      </c>
      <c r="AW889" t="inlineStr">
        <is>
          <t>991005200789702656</t>
        </is>
      </c>
      <c r="AX889" t="inlineStr">
        <is>
          <t>991005200789702656</t>
        </is>
      </c>
      <c r="AY889" t="inlineStr">
        <is>
          <t>2255800280002656</t>
        </is>
      </c>
      <c r="AZ889" t="inlineStr">
        <is>
          <t>BOOK</t>
        </is>
      </c>
      <c r="BB889" t="inlineStr">
        <is>
          <t>9780094641303</t>
        </is>
      </c>
      <c r="BC889" t="inlineStr">
        <is>
          <t>32285001182111</t>
        </is>
      </c>
      <c r="BD889" t="inlineStr">
        <is>
          <t>893332588</t>
        </is>
      </c>
    </row>
    <row r="890">
      <c r="A890" t="inlineStr">
        <is>
          <t>No</t>
        </is>
      </c>
      <c r="B890" t="inlineStr">
        <is>
          <t>HV6943 .P64 1981</t>
        </is>
      </c>
      <c r="C890" t="inlineStr">
        <is>
          <t>0                      HV 6943000P  64          1981</t>
        </is>
      </c>
      <c r="D890" t="inlineStr">
        <is>
          <t>Policing and punishment in nineteenth century Britain / edited by Victor Bailey.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L890" t="inlineStr">
        <is>
          <t>New Brunswick, N.J. : Rutgers University Press, 1981.</t>
        </is>
      </c>
      <c r="M890" t="inlineStr">
        <is>
          <t>1981</t>
        </is>
      </c>
      <c r="O890" t="inlineStr">
        <is>
          <t>eng</t>
        </is>
      </c>
      <c r="P890" t="inlineStr">
        <is>
          <t>nju</t>
        </is>
      </c>
      <c r="R890" t="inlineStr">
        <is>
          <t xml:space="preserve">HV </t>
        </is>
      </c>
      <c r="S890" t="n">
        <v>2</v>
      </c>
      <c r="T890" t="n">
        <v>2</v>
      </c>
      <c r="U890" t="inlineStr">
        <is>
          <t>2003-04-23</t>
        </is>
      </c>
      <c r="V890" t="inlineStr">
        <is>
          <t>2003-04-23</t>
        </is>
      </c>
      <c r="W890" t="inlineStr">
        <is>
          <t>1992-07-14</t>
        </is>
      </c>
      <c r="X890" t="inlineStr">
        <is>
          <t>1992-07-14</t>
        </is>
      </c>
      <c r="Y890" t="n">
        <v>381</v>
      </c>
      <c r="Z890" t="n">
        <v>330</v>
      </c>
      <c r="AA890" t="n">
        <v>409</v>
      </c>
      <c r="AB890" t="n">
        <v>4</v>
      </c>
      <c r="AC890" t="n">
        <v>4</v>
      </c>
      <c r="AD890" t="n">
        <v>25</v>
      </c>
      <c r="AE890" t="n">
        <v>25</v>
      </c>
      <c r="AF890" t="n">
        <v>6</v>
      </c>
      <c r="AG890" t="n">
        <v>6</v>
      </c>
      <c r="AH890" t="n">
        <v>6</v>
      </c>
      <c r="AI890" t="n">
        <v>6</v>
      </c>
      <c r="AJ890" t="n">
        <v>15</v>
      </c>
      <c r="AK890" t="n">
        <v>15</v>
      </c>
      <c r="AL890" t="n">
        <v>3</v>
      </c>
      <c r="AM890" t="n">
        <v>3</v>
      </c>
      <c r="AN890" t="n">
        <v>4</v>
      </c>
      <c r="AO890" t="n">
        <v>4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HYPERLINK("http://catalog.hathitrust.org/Record/009494594","HathiTrust Record")</f>
        <v/>
      </c>
      <c r="AS890">
        <f>HYPERLINK("https://creighton-primo.hosted.exlibrisgroup.com/primo-explore/search?tab=default_tab&amp;search_scope=EVERYTHING&amp;vid=01CRU&amp;lang=en_US&amp;offset=0&amp;query=any,contains,991005149529702656","Catalog Record")</f>
        <v/>
      </c>
      <c r="AT890">
        <f>HYPERLINK("http://www.worldcat.org/oclc/7712238","WorldCat Record")</f>
        <v/>
      </c>
      <c r="AU890" t="inlineStr">
        <is>
          <t>474628:eng</t>
        </is>
      </c>
      <c r="AV890" t="inlineStr">
        <is>
          <t>7712238</t>
        </is>
      </c>
      <c r="AW890" t="inlineStr">
        <is>
          <t>991005149529702656</t>
        </is>
      </c>
      <c r="AX890" t="inlineStr">
        <is>
          <t>991005149529702656</t>
        </is>
      </c>
      <c r="AY890" t="inlineStr">
        <is>
          <t>2268599600002656</t>
        </is>
      </c>
      <c r="AZ890" t="inlineStr">
        <is>
          <t>BOOK</t>
        </is>
      </c>
      <c r="BB890" t="inlineStr">
        <is>
          <t>9780813509327</t>
        </is>
      </c>
      <c r="BC890" t="inlineStr">
        <is>
          <t>32285001182145</t>
        </is>
      </c>
      <c r="BD890" t="inlineStr">
        <is>
          <t>893625524</t>
        </is>
      </c>
    </row>
    <row r="891">
      <c r="A891" t="inlineStr">
        <is>
          <t>No</t>
        </is>
      </c>
      <c r="B891" t="inlineStr">
        <is>
          <t>HV6949.E5 E47 1987</t>
        </is>
      </c>
      <c r="C891" t="inlineStr">
        <is>
          <t>0                      HV 6949000E  5                  E  47          1987</t>
        </is>
      </c>
      <c r="D891" t="inlineStr">
        <is>
          <t>Crime and society in England, 1750-1900 / Clive Emsley.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Emsley, Clive.</t>
        </is>
      </c>
      <c r="L891" t="inlineStr">
        <is>
          <t>London ; New York : Longman, 1987.</t>
        </is>
      </c>
      <c r="M891" t="inlineStr">
        <is>
          <t>1987</t>
        </is>
      </c>
      <c r="O891" t="inlineStr">
        <is>
          <t>eng</t>
        </is>
      </c>
      <c r="P891" t="inlineStr">
        <is>
          <t>enk</t>
        </is>
      </c>
      <c r="Q891" t="inlineStr">
        <is>
          <t>Themes in British social history</t>
        </is>
      </c>
      <c r="R891" t="inlineStr">
        <is>
          <t xml:space="preserve">HV </t>
        </is>
      </c>
      <c r="S891" t="n">
        <v>1</v>
      </c>
      <c r="T891" t="n">
        <v>1</v>
      </c>
      <c r="U891" t="inlineStr">
        <is>
          <t>2006-11-09</t>
        </is>
      </c>
      <c r="V891" t="inlineStr">
        <is>
          <t>2006-11-09</t>
        </is>
      </c>
      <c r="W891" t="inlineStr">
        <is>
          <t>2006-11-09</t>
        </is>
      </c>
      <c r="X891" t="inlineStr">
        <is>
          <t>2006-11-09</t>
        </is>
      </c>
      <c r="Y891" t="n">
        <v>594</v>
      </c>
      <c r="Z891" t="n">
        <v>444</v>
      </c>
      <c r="AA891" t="n">
        <v>612</v>
      </c>
      <c r="AB891" t="n">
        <v>3</v>
      </c>
      <c r="AC891" t="n">
        <v>3</v>
      </c>
      <c r="AD891" t="n">
        <v>28</v>
      </c>
      <c r="AE891" t="n">
        <v>32</v>
      </c>
      <c r="AF891" t="n">
        <v>13</v>
      </c>
      <c r="AG891" t="n">
        <v>15</v>
      </c>
      <c r="AH891" t="n">
        <v>7</v>
      </c>
      <c r="AI891" t="n">
        <v>8</v>
      </c>
      <c r="AJ891" t="n">
        <v>14</v>
      </c>
      <c r="AK891" t="n">
        <v>16</v>
      </c>
      <c r="AL891" t="n">
        <v>2</v>
      </c>
      <c r="AM891" t="n">
        <v>2</v>
      </c>
      <c r="AN891" t="n">
        <v>0</v>
      </c>
      <c r="AO891" t="n">
        <v>1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HYPERLINK("https://creighton-primo.hosted.exlibrisgroup.com/primo-explore/search?tab=default_tab&amp;search_scope=EVERYTHING&amp;vid=01CRU&amp;lang=en_US&amp;offset=0&amp;query=any,contains,991004973159702656","Catalog Record")</f>
        <v/>
      </c>
      <c r="AT891">
        <f>HYPERLINK("http://www.worldcat.org/oclc/14135099","WorldCat Record")</f>
        <v/>
      </c>
      <c r="AU891" t="inlineStr">
        <is>
          <t>7655862:eng</t>
        </is>
      </c>
      <c r="AV891" t="inlineStr">
        <is>
          <t>14135099</t>
        </is>
      </c>
      <c r="AW891" t="inlineStr">
        <is>
          <t>991004973159702656</t>
        </is>
      </c>
      <c r="AX891" t="inlineStr">
        <is>
          <t>991004973159702656</t>
        </is>
      </c>
      <c r="AY891" t="inlineStr">
        <is>
          <t>2262543920002656</t>
        </is>
      </c>
      <c r="AZ891" t="inlineStr">
        <is>
          <t>BOOK</t>
        </is>
      </c>
      <c r="BB891" t="inlineStr">
        <is>
          <t>9780582493995</t>
        </is>
      </c>
      <c r="BC891" t="inlineStr">
        <is>
          <t>32285005234371</t>
        </is>
      </c>
      <c r="BD891" t="inlineStr">
        <is>
          <t>893430666</t>
        </is>
      </c>
    </row>
    <row r="892">
      <c r="A892" t="inlineStr">
        <is>
          <t>No</t>
        </is>
      </c>
      <c r="B892" t="inlineStr">
        <is>
          <t>HV6957 .T38 2004</t>
        </is>
      </c>
      <c r="C892" t="inlineStr">
        <is>
          <t>0                      HV 6957000T  38          2004</t>
        </is>
      </c>
      <c r="D892" t="inlineStr">
        <is>
          <t>The enemy within : hucksters, racketeers, deserters &amp; civilians during the Second World War / Donald Thomas.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Thomas, Donald, 1926-</t>
        </is>
      </c>
      <c r="L892" t="inlineStr">
        <is>
          <t>New York : New York University Press, 2004.</t>
        </is>
      </c>
      <c r="M892" t="inlineStr">
        <is>
          <t>2004</t>
        </is>
      </c>
      <c r="O892" t="inlineStr">
        <is>
          <t>eng</t>
        </is>
      </c>
      <c r="P892" t="inlineStr">
        <is>
          <t>nyu</t>
        </is>
      </c>
      <c r="R892" t="inlineStr">
        <is>
          <t xml:space="preserve">HV </t>
        </is>
      </c>
      <c r="S892" t="n">
        <v>1</v>
      </c>
      <c r="T892" t="n">
        <v>1</v>
      </c>
      <c r="U892" t="inlineStr">
        <is>
          <t>2006-04-25</t>
        </is>
      </c>
      <c r="V892" t="inlineStr">
        <is>
          <t>2006-04-25</t>
        </is>
      </c>
      <c r="W892" t="inlineStr">
        <is>
          <t>2006-04-25</t>
        </is>
      </c>
      <c r="X892" t="inlineStr">
        <is>
          <t>2006-04-25</t>
        </is>
      </c>
      <c r="Y892" t="n">
        <v>310</v>
      </c>
      <c r="Z892" t="n">
        <v>282</v>
      </c>
      <c r="AA892" t="n">
        <v>286</v>
      </c>
      <c r="AB892" t="n">
        <v>2</v>
      </c>
      <c r="AC892" t="n">
        <v>2</v>
      </c>
      <c r="AD892" t="n">
        <v>17</v>
      </c>
      <c r="AE892" t="n">
        <v>17</v>
      </c>
      <c r="AF892" t="n">
        <v>7</v>
      </c>
      <c r="AG892" t="n">
        <v>7</v>
      </c>
      <c r="AH892" t="n">
        <v>6</v>
      </c>
      <c r="AI892" t="n">
        <v>6</v>
      </c>
      <c r="AJ892" t="n">
        <v>7</v>
      </c>
      <c r="AK892" t="n">
        <v>7</v>
      </c>
      <c r="AL892" t="n">
        <v>1</v>
      </c>
      <c r="AM892" t="n">
        <v>1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HYPERLINK("https://creighton-primo.hosted.exlibrisgroup.com/primo-explore/search?tab=default_tab&amp;search_scope=EVERYTHING&amp;vid=01CRU&amp;lang=en_US&amp;offset=0&amp;query=any,contains,991004779729702656","Catalog Record")</f>
        <v/>
      </c>
      <c r="AT892">
        <f>HYPERLINK("http://www.worldcat.org/oclc/53178333","WorldCat Record")</f>
        <v/>
      </c>
      <c r="AU892" t="inlineStr">
        <is>
          <t>353895562:eng</t>
        </is>
      </c>
      <c r="AV892" t="inlineStr">
        <is>
          <t>53178333</t>
        </is>
      </c>
      <c r="AW892" t="inlineStr">
        <is>
          <t>991004779729702656</t>
        </is>
      </c>
      <c r="AX892" t="inlineStr">
        <is>
          <t>991004779729702656</t>
        </is>
      </c>
      <c r="AY892" t="inlineStr">
        <is>
          <t>2259994730002656</t>
        </is>
      </c>
      <c r="AZ892" t="inlineStr">
        <is>
          <t>BOOK</t>
        </is>
      </c>
      <c r="BB892" t="inlineStr">
        <is>
          <t>9780814782866</t>
        </is>
      </c>
      <c r="BC892" t="inlineStr">
        <is>
          <t>32285005182265</t>
        </is>
      </c>
      <c r="BD892" t="inlineStr">
        <is>
          <t>893876573</t>
        </is>
      </c>
    </row>
    <row r="893">
      <c r="A893" t="inlineStr">
        <is>
          <t>No</t>
        </is>
      </c>
      <c r="B893" t="inlineStr">
        <is>
          <t>HV696.F6 A93</t>
        </is>
      </c>
      <c r="C893" t="inlineStr">
        <is>
          <t>0                      HV 0696000F  6                  A  93</t>
        </is>
      </c>
      <c r="D893" t="inlineStr">
        <is>
          <t>Confronting urban malnutrition : the design of nutrition programs / James E. Austin.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Austin, James E.</t>
        </is>
      </c>
      <c r="L893" t="inlineStr">
        <is>
          <t>Baltimore : Published for the World Bank [by] the Johns Hopkins University Press, c1980.</t>
        </is>
      </c>
      <c r="M893" t="inlineStr">
        <is>
          <t>1980</t>
        </is>
      </c>
      <c r="O893" t="inlineStr">
        <is>
          <t>eng</t>
        </is>
      </c>
      <c r="P893" t="inlineStr">
        <is>
          <t>mdu</t>
        </is>
      </c>
      <c r="Q893" t="inlineStr">
        <is>
          <t>World Bank staff occasional papers ; no. 28</t>
        </is>
      </c>
      <c r="R893" t="inlineStr">
        <is>
          <t xml:space="preserve">HV </t>
        </is>
      </c>
      <c r="S893" t="n">
        <v>2</v>
      </c>
      <c r="T893" t="n">
        <v>2</v>
      </c>
      <c r="U893" t="inlineStr">
        <is>
          <t>1997-03-28</t>
        </is>
      </c>
      <c r="V893" t="inlineStr">
        <is>
          <t>1997-03-28</t>
        </is>
      </c>
      <c r="W893" t="inlineStr">
        <is>
          <t>1991-07-22</t>
        </is>
      </c>
      <c r="X893" t="inlineStr">
        <is>
          <t>1991-07-22</t>
        </is>
      </c>
      <c r="Y893" t="n">
        <v>304</v>
      </c>
      <c r="Z893" t="n">
        <v>218</v>
      </c>
      <c r="AA893" t="n">
        <v>240</v>
      </c>
      <c r="AB893" t="n">
        <v>2</v>
      </c>
      <c r="AC893" t="n">
        <v>2</v>
      </c>
      <c r="AD893" t="n">
        <v>7</v>
      </c>
      <c r="AE893" t="n">
        <v>7</v>
      </c>
      <c r="AF893" t="n">
        <v>2</v>
      </c>
      <c r="AG893" t="n">
        <v>2</v>
      </c>
      <c r="AH893" t="n">
        <v>1</v>
      </c>
      <c r="AI893" t="n">
        <v>1</v>
      </c>
      <c r="AJ893" t="n">
        <v>5</v>
      </c>
      <c r="AK893" t="n">
        <v>5</v>
      </c>
      <c r="AL893" t="n">
        <v>1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HYPERLINK("http://catalog.hathitrust.org/Record/000025999","HathiTrust Record")</f>
        <v/>
      </c>
      <c r="AS893">
        <f>HYPERLINK("https://creighton-primo.hosted.exlibrisgroup.com/primo-explore/search?tab=default_tab&amp;search_scope=EVERYTHING&amp;vid=01CRU&amp;lang=en_US&amp;offset=0&amp;query=any,contains,991004873209702656","Catalog Record")</f>
        <v/>
      </c>
      <c r="AT893">
        <f>HYPERLINK("http://www.worldcat.org/oclc/5776744","WorldCat Record")</f>
        <v/>
      </c>
      <c r="AU893" t="inlineStr">
        <is>
          <t>452088:eng</t>
        </is>
      </c>
      <c r="AV893" t="inlineStr">
        <is>
          <t>5776744</t>
        </is>
      </c>
      <c r="AW893" t="inlineStr">
        <is>
          <t>991004873209702656</t>
        </is>
      </c>
      <c r="AX893" t="inlineStr">
        <is>
          <t>991004873209702656</t>
        </is>
      </c>
      <c r="AY893" t="inlineStr">
        <is>
          <t>2256145190002656</t>
        </is>
      </c>
      <c r="AZ893" t="inlineStr">
        <is>
          <t>BOOK</t>
        </is>
      </c>
      <c r="BB893" t="inlineStr">
        <is>
          <t>9780801822612</t>
        </is>
      </c>
      <c r="BC893" t="inlineStr">
        <is>
          <t>32285000677905</t>
        </is>
      </c>
      <c r="BD893" t="inlineStr">
        <is>
          <t>893694437</t>
        </is>
      </c>
    </row>
    <row r="894">
      <c r="A894" t="inlineStr">
        <is>
          <t>No</t>
        </is>
      </c>
      <c r="B894" t="inlineStr">
        <is>
          <t>HV696.F6 C86 1999</t>
        </is>
      </c>
      <c r="C894" t="inlineStr">
        <is>
          <t>0                      HV 0696000F  6                  C  86          1999</t>
        </is>
      </c>
      <c r="D894" t="inlineStr">
        <is>
          <t>Famine, conflict, and response : a basic guide / Frederick C. Cuny ; with Richard B. Hill.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Cuny, Frederick C.</t>
        </is>
      </c>
      <c r="L894" t="inlineStr">
        <is>
          <t>West Hartford, Conn. : Kumarian Press, 1999.</t>
        </is>
      </c>
      <c r="M894" t="inlineStr">
        <is>
          <t>1999</t>
        </is>
      </c>
      <c r="O894" t="inlineStr">
        <is>
          <t>eng</t>
        </is>
      </c>
      <c r="P894" t="inlineStr">
        <is>
          <t>ctu</t>
        </is>
      </c>
      <c r="R894" t="inlineStr">
        <is>
          <t xml:space="preserve">HV </t>
        </is>
      </c>
      <c r="S894" t="n">
        <v>2</v>
      </c>
      <c r="T894" t="n">
        <v>2</v>
      </c>
      <c r="U894" t="inlineStr">
        <is>
          <t>2006-12-04</t>
        </is>
      </c>
      <c r="V894" t="inlineStr">
        <is>
          <t>2006-12-04</t>
        </is>
      </c>
      <c r="W894" t="inlineStr">
        <is>
          <t>2006-02-27</t>
        </is>
      </c>
      <c r="X894" t="inlineStr">
        <is>
          <t>2006-02-27</t>
        </is>
      </c>
      <c r="Y894" t="n">
        <v>318</v>
      </c>
      <c r="Z894" t="n">
        <v>250</v>
      </c>
      <c r="AA894" t="n">
        <v>257</v>
      </c>
      <c r="AB894" t="n">
        <v>3</v>
      </c>
      <c r="AC894" t="n">
        <v>3</v>
      </c>
      <c r="AD894" t="n">
        <v>12</v>
      </c>
      <c r="AE894" t="n">
        <v>12</v>
      </c>
      <c r="AF894" t="n">
        <v>3</v>
      </c>
      <c r="AG894" t="n">
        <v>3</v>
      </c>
      <c r="AH894" t="n">
        <v>4</v>
      </c>
      <c r="AI894" t="n">
        <v>4</v>
      </c>
      <c r="AJ894" t="n">
        <v>5</v>
      </c>
      <c r="AK894" t="n">
        <v>5</v>
      </c>
      <c r="AL894" t="n">
        <v>2</v>
      </c>
      <c r="AM894" t="n">
        <v>2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HYPERLINK("http://catalog.hathitrust.org/Record/004032592","HathiTrust Record")</f>
        <v/>
      </c>
      <c r="AS894">
        <f>HYPERLINK("https://creighton-primo.hosted.exlibrisgroup.com/primo-explore/search?tab=default_tab&amp;search_scope=EVERYTHING&amp;vid=01CRU&amp;lang=en_US&amp;offset=0&amp;query=any,contains,991004751929702656","Catalog Record")</f>
        <v/>
      </c>
      <c r="AT894">
        <f>HYPERLINK("http://www.worldcat.org/oclc/40199936","WorldCat Record")</f>
        <v/>
      </c>
      <c r="AU894" t="inlineStr">
        <is>
          <t>890875110:eng</t>
        </is>
      </c>
      <c r="AV894" t="inlineStr">
        <is>
          <t>40199936</t>
        </is>
      </c>
      <c r="AW894" t="inlineStr">
        <is>
          <t>991004751929702656</t>
        </is>
      </c>
      <c r="AX894" t="inlineStr">
        <is>
          <t>991004751929702656</t>
        </is>
      </c>
      <c r="AY894" t="inlineStr">
        <is>
          <t>2266296450002656</t>
        </is>
      </c>
      <c r="AZ894" t="inlineStr">
        <is>
          <t>BOOK</t>
        </is>
      </c>
      <c r="BB894" t="inlineStr">
        <is>
          <t>9781565490901</t>
        </is>
      </c>
      <c r="BC894" t="inlineStr">
        <is>
          <t>32285005166227</t>
        </is>
      </c>
      <c r="BD894" t="inlineStr">
        <is>
          <t>893712974</t>
        </is>
      </c>
    </row>
    <row r="895">
      <c r="A895" t="inlineStr">
        <is>
          <t>No</t>
        </is>
      </c>
      <c r="B895" t="inlineStr">
        <is>
          <t>HV696.F6 G388 2001</t>
        </is>
      </c>
      <c r="C895" t="inlineStr">
        <is>
          <t>0                      HV 0696000F  6                  G  388         2001</t>
        </is>
      </c>
      <c r="D895" t="inlineStr">
        <is>
          <t>The geopolitics of hunger, 2000-2001 : hunger and power / Action Against Hunger.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L895" t="inlineStr">
        <is>
          <t>Boulder : L. Rienner, 2001.</t>
        </is>
      </c>
      <c r="M895" t="inlineStr">
        <is>
          <t>2001</t>
        </is>
      </c>
      <c r="O895" t="inlineStr">
        <is>
          <t>eng</t>
        </is>
      </c>
      <c r="P895" t="inlineStr">
        <is>
          <t>cou</t>
        </is>
      </c>
      <c r="R895" t="inlineStr">
        <is>
          <t xml:space="preserve">HV </t>
        </is>
      </c>
      <c r="S895" t="n">
        <v>4</v>
      </c>
      <c r="T895" t="n">
        <v>4</v>
      </c>
      <c r="U895" t="inlineStr">
        <is>
          <t>2002-03-01</t>
        </is>
      </c>
      <c r="V895" t="inlineStr">
        <is>
          <t>2002-03-01</t>
        </is>
      </c>
      <c r="W895" t="inlineStr">
        <is>
          <t>2001-10-23</t>
        </is>
      </c>
      <c r="X895" t="inlineStr">
        <is>
          <t>2001-10-23</t>
        </is>
      </c>
      <c r="Y895" t="n">
        <v>549</v>
      </c>
      <c r="Z895" t="n">
        <v>450</v>
      </c>
      <c r="AA895" t="n">
        <v>464</v>
      </c>
      <c r="AB895" t="n">
        <v>6</v>
      </c>
      <c r="AC895" t="n">
        <v>6</v>
      </c>
      <c r="AD895" t="n">
        <v>29</v>
      </c>
      <c r="AE895" t="n">
        <v>29</v>
      </c>
      <c r="AF895" t="n">
        <v>10</v>
      </c>
      <c r="AG895" t="n">
        <v>10</v>
      </c>
      <c r="AH895" t="n">
        <v>9</v>
      </c>
      <c r="AI895" t="n">
        <v>9</v>
      </c>
      <c r="AJ895" t="n">
        <v>14</v>
      </c>
      <c r="AK895" t="n">
        <v>14</v>
      </c>
      <c r="AL895" t="n">
        <v>5</v>
      </c>
      <c r="AM895" t="n">
        <v>5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HYPERLINK("https://creighton-primo.hosted.exlibrisgroup.com/primo-explore/search?tab=default_tab&amp;search_scope=EVERYTHING&amp;vid=01CRU&amp;lang=en_US&amp;offset=0&amp;query=any,contains,991003621919702656","Catalog Record")</f>
        <v/>
      </c>
      <c r="AT895">
        <f>HYPERLINK("http://www.worldcat.org/oclc/44454598","WorldCat Record")</f>
        <v/>
      </c>
      <c r="AU895" t="inlineStr">
        <is>
          <t>837025496:eng</t>
        </is>
      </c>
      <c r="AV895" t="inlineStr">
        <is>
          <t>44454598</t>
        </is>
      </c>
      <c r="AW895" t="inlineStr">
        <is>
          <t>991003621919702656</t>
        </is>
      </c>
      <c r="AX895" t="inlineStr">
        <is>
          <t>991003621919702656</t>
        </is>
      </c>
      <c r="AY895" t="inlineStr">
        <is>
          <t>2269766790002656</t>
        </is>
      </c>
      <c r="AZ895" t="inlineStr">
        <is>
          <t>BOOK</t>
        </is>
      </c>
      <c r="BB895" t="inlineStr">
        <is>
          <t>9781555879013</t>
        </is>
      </c>
      <c r="BC895" t="inlineStr">
        <is>
          <t>32285004399324</t>
        </is>
      </c>
      <c r="BD895" t="inlineStr">
        <is>
          <t>893234368</t>
        </is>
      </c>
    </row>
    <row r="896">
      <c r="A896" t="inlineStr">
        <is>
          <t>No</t>
        </is>
      </c>
      <c r="B896" t="inlineStr">
        <is>
          <t>HV696.F6 M35 1989</t>
        </is>
      </c>
      <c r="C896" t="inlineStr">
        <is>
          <t>0                      HV 0696000F  6                  M  35          1989</t>
        </is>
      </c>
      <c r="D896" t="inlineStr">
        <is>
          <t>Still hungry after all these years : food assistance policy from Kennedy to Reagan / Ardith L. Maney.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Maney, Ardith.</t>
        </is>
      </c>
      <c r="L896" t="inlineStr">
        <is>
          <t>New York : Greenwood Press, 1989.</t>
        </is>
      </c>
      <c r="M896" t="inlineStr">
        <is>
          <t>1989</t>
        </is>
      </c>
      <c r="O896" t="inlineStr">
        <is>
          <t>eng</t>
        </is>
      </c>
      <c r="P896" t="inlineStr">
        <is>
          <t>nyu</t>
        </is>
      </c>
      <c r="Q896" t="inlineStr">
        <is>
          <t>Studies in social welfare policies and programs, 8755-5360 ; no. 11</t>
        </is>
      </c>
      <c r="R896" t="inlineStr">
        <is>
          <t xml:space="preserve">HV </t>
        </is>
      </c>
      <c r="S896" t="n">
        <v>3</v>
      </c>
      <c r="T896" t="n">
        <v>3</v>
      </c>
      <c r="U896" t="inlineStr">
        <is>
          <t>2007-10-02</t>
        </is>
      </c>
      <c r="V896" t="inlineStr">
        <is>
          <t>2007-10-02</t>
        </is>
      </c>
      <c r="W896" t="inlineStr">
        <is>
          <t>1990-05-24</t>
        </is>
      </c>
      <c r="X896" t="inlineStr">
        <is>
          <t>1990-05-24</t>
        </is>
      </c>
      <c r="Y896" t="n">
        <v>464</v>
      </c>
      <c r="Z896" t="n">
        <v>422</v>
      </c>
      <c r="AA896" t="n">
        <v>428</v>
      </c>
      <c r="AB896" t="n">
        <v>3</v>
      </c>
      <c r="AC896" t="n">
        <v>3</v>
      </c>
      <c r="AD896" t="n">
        <v>21</v>
      </c>
      <c r="AE896" t="n">
        <v>21</v>
      </c>
      <c r="AF896" t="n">
        <v>7</v>
      </c>
      <c r="AG896" t="n">
        <v>7</v>
      </c>
      <c r="AH896" t="n">
        <v>4</v>
      </c>
      <c r="AI896" t="n">
        <v>4</v>
      </c>
      <c r="AJ896" t="n">
        <v>12</v>
      </c>
      <c r="AK896" t="n">
        <v>12</v>
      </c>
      <c r="AL896" t="n">
        <v>2</v>
      </c>
      <c r="AM896" t="n">
        <v>2</v>
      </c>
      <c r="AN896" t="n">
        <v>1</v>
      </c>
      <c r="AO896" t="n">
        <v>1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HYPERLINK("http://catalog.hathitrust.org/Record/001304309","HathiTrust Record")</f>
        <v/>
      </c>
      <c r="AS896">
        <f>HYPERLINK("https://creighton-primo.hosted.exlibrisgroup.com/primo-explore/search?tab=default_tab&amp;search_scope=EVERYTHING&amp;vid=01CRU&amp;lang=en_US&amp;offset=0&amp;query=any,contains,991001378459702656","Catalog Record")</f>
        <v/>
      </c>
      <c r="AT896">
        <f>HYPERLINK("http://www.worldcat.org/oclc/18629735","WorldCat Record")</f>
        <v/>
      </c>
      <c r="AU896" t="inlineStr">
        <is>
          <t>203289144:eng</t>
        </is>
      </c>
      <c r="AV896" t="inlineStr">
        <is>
          <t>18629735</t>
        </is>
      </c>
      <c r="AW896" t="inlineStr">
        <is>
          <t>991001378459702656</t>
        </is>
      </c>
      <c r="AX896" t="inlineStr">
        <is>
          <t>991001378459702656</t>
        </is>
      </c>
      <c r="AY896" t="inlineStr">
        <is>
          <t>2265199540002656</t>
        </is>
      </c>
      <c r="AZ896" t="inlineStr">
        <is>
          <t>BOOK</t>
        </is>
      </c>
      <c r="BB896" t="inlineStr">
        <is>
          <t>9780313263279</t>
        </is>
      </c>
      <c r="BC896" t="inlineStr">
        <is>
          <t>32285000139674</t>
        </is>
      </c>
      <c r="BD896" t="inlineStr">
        <is>
          <t>893238081</t>
        </is>
      </c>
    </row>
    <row r="897">
      <c r="A897" t="inlineStr">
        <is>
          <t>No</t>
        </is>
      </c>
      <c r="B897" t="inlineStr">
        <is>
          <t>HV696.F6 W34</t>
        </is>
      </c>
      <c r="C897" t="inlineStr">
        <is>
          <t>0                      HV 0696000F  6                  W  34</t>
        </is>
      </c>
      <c r="D897" t="inlineStr">
        <is>
          <t>Food for war-food for peace : United States food aid in a global context / Mitchel B. Wallerstein.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Wallerstein, Mitchel B.</t>
        </is>
      </c>
      <c r="L897" t="inlineStr">
        <is>
          <t>Cambridge, Mass. : MIT Press, c1980.</t>
        </is>
      </c>
      <c r="M897" t="inlineStr">
        <is>
          <t>1980</t>
        </is>
      </c>
      <c r="O897" t="inlineStr">
        <is>
          <t>eng</t>
        </is>
      </c>
      <c r="P897" t="inlineStr">
        <is>
          <t>mau</t>
        </is>
      </c>
      <c r="R897" t="inlineStr">
        <is>
          <t xml:space="preserve">HV </t>
        </is>
      </c>
      <c r="S897" t="n">
        <v>3</v>
      </c>
      <c r="T897" t="n">
        <v>3</v>
      </c>
      <c r="U897" t="inlineStr">
        <is>
          <t>1995-03-26</t>
        </is>
      </c>
      <c r="V897" t="inlineStr">
        <is>
          <t>1995-03-26</t>
        </is>
      </c>
      <c r="W897" t="inlineStr">
        <is>
          <t>1992-11-13</t>
        </is>
      </c>
      <c r="X897" t="inlineStr">
        <is>
          <t>1992-11-13</t>
        </is>
      </c>
      <c r="Y897" t="n">
        <v>493</v>
      </c>
      <c r="Z897" t="n">
        <v>384</v>
      </c>
      <c r="AA897" t="n">
        <v>391</v>
      </c>
      <c r="AB897" t="n">
        <v>3</v>
      </c>
      <c r="AC897" t="n">
        <v>3</v>
      </c>
      <c r="AD897" t="n">
        <v>18</v>
      </c>
      <c r="AE897" t="n">
        <v>18</v>
      </c>
      <c r="AF897" t="n">
        <v>5</v>
      </c>
      <c r="AG897" t="n">
        <v>5</v>
      </c>
      <c r="AH897" t="n">
        <v>7</v>
      </c>
      <c r="AI897" t="n">
        <v>7</v>
      </c>
      <c r="AJ897" t="n">
        <v>7</v>
      </c>
      <c r="AK897" t="n">
        <v>7</v>
      </c>
      <c r="AL897" t="n">
        <v>2</v>
      </c>
      <c r="AM897" t="n">
        <v>2</v>
      </c>
      <c r="AN897" t="n">
        <v>1</v>
      </c>
      <c r="AO897" t="n">
        <v>1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HYPERLINK("http://catalog.hathitrust.org/Record/000730226","HathiTrust Record")</f>
        <v/>
      </c>
      <c r="AS897">
        <f>HYPERLINK("https://creighton-primo.hosted.exlibrisgroup.com/primo-explore/search?tab=default_tab&amp;search_scope=EVERYTHING&amp;vid=01CRU&amp;lang=en_US&amp;offset=0&amp;query=any,contains,991005001809702656","Catalog Record")</f>
        <v/>
      </c>
      <c r="AT897">
        <f>HYPERLINK("http://www.worldcat.org/oclc/6554133","WorldCat Record")</f>
        <v/>
      </c>
      <c r="AU897" t="inlineStr">
        <is>
          <t>365377324:eng</t>
        </is>
      </c>
      <c r="AV897" t="inlineStr">
        <is>
          <t>6554133</t>
        </is>
      </c>
      <c r="AW897" t="inlineStr">
        <is>
          <t>991005001809702656</t>
        </is>
      </c>
      <c r="AX897" t="inlineStr">
        <is>
          <t>991005001809702656</t>
        </is>
      </c>
      <c r="AY897" t="inlineStr">
        <is>
          <t>2256454740002656</t>
        </is>
      </c>
      <c r="AZ897" t="inlineStr">
        <is>
          <t>BOOK</t>
        </is>
      </c>
      <c r="BB897" t="inlineStr">
        <is>
          <t>9780262231060</t>
        </is>
      </c>
      <c r="BC897" t="inlineStr">
        <is>
          <t>32285001384600</t>
        </is>
      </c>
      <c r="BD897" t="inlineStr">
        <is>
          <t>893600475</t>
        </is>
      </c>
    </row>
    <row r="898">
      <c r="A898" t="inlineStr">
        <is>
          <t>No</t>
        </is>
      </c>
      <c r="B898" t="inlineStr">
        <is>
          <t>HV696.F6 W58 1993</t>
        </is>
      </c>
      <c r="C898" t="inlineStr">
        <is>
          <t>0                      HV 0696000F  6                  W  58          1993</t>
        </is>
      </c>
      <c r="D898" t="inlineStr">
        <is>
          <t>Why food aid? / edited by Vernon W. Ruttan.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L898" t="inlineStr">
        <is>
          <t>Baltimore : Johns Hopkins University Press, c1993.</t>
        </is>
      </c>
      <c r="M898" t="inlineStr">
        <is>
          <t>1993</t>
        </is>
      </c>
      <c r="O898" t="inlineStr">
        <is>
          <t>eng</t>
        </is>
      </c>
      <c r="P898" t="inlineStr">
        <is>
          <t>mdu</t>
        </is>
      </c>
      <c r="R898" t="inlineStr">
        <is>
          <t xml:space="preserve">HV </t>
        </is>
      </c>
      <c r="S898" t="n">
        <v>9</v>
      </c>
      <c r="T898" t="n">
        <v>9</v>
      </c>
      <c r="U898" t="inlineStr">
        <is>
          <t>1998-04-17</t>
        </is>
      </c>
      <c r="V898" t="inlineStr">
        <is>
          <t>1998-04-17</t>
        </is>
      </c>
      <c r="W898" t="inlineStr">
        <is>
          <t>1993-09-13</t>
        </is>
      </c>
      <c r="X898" t="inlineStr">
        <is>
          <t>1993-09-13</t>
        </is>
      </c>
      <c r="Y898" t="n">
        <v>297</v>
      </c>
      <c r="Z898" t="n">
        <v>214</v>
      </c>
      <c r="AA898" t="n">
        <v>214</v>
      </c>
      <c r="AB898" t="n">
        <v>4</v>
      </c>
      <c r="AC898" t="n">
        <v>4</v>
      </c>
      <c r="AD898" t="n">
        <v>11</v>
      </c>
      <c r="AE898" t="n">
        <v>11</v>
      </c>
      <c r="AF898" t="n">
        <v>3</v>
      </c>
      <c r="AG898" t="n">
        <v>3</v>
      </c>
      <c r="AH898" t="n">
        <v>3</v>
      </c>
      <c r="AI898" t="n">
        <v>3</v>
      </c>
      <c r="AJ898" t="n">
        <v>5</v>
      </c>
      <c r="AK898" t="n">
        <v>5</v>
      </c>
      <c r="AL898" t="n">
        <v>3</v>
      </c>
      <c r="AM898" t="n">
        <v>3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HYPERLINK("https://creighton-primo.hosted.exlibrisgroup.com/primo-explore/search?tab=default_tab&amp;search_scope=EVERYTHING&amp;vid=01CRU&amp;lang=en_US&amp;offset=0&amp;query=any,contains,991002052049702656","Catalog Record")</f>
        <v/>
      </c>
      <c r="AT898">
        <f>HYPERLINK("http://www.worldcat.org/oclc/26211183","WorldCat Record")</f>
        <v/>
      </c>
      <c r="AU898" t="inlineStr">
        <is>
          <t>28751503:eng</t>
        </is>
      </c>
      <c r="AV898" t="inlineStr">
        <is>
          <t>26211183</t>
        </is>
      </c>
      <c r="AW898" t="inlineStr">
        <is>
          <t>991002052049702656</t>
        </is>
      </c>
      <c r="AX898" t="inlineStr">
        <is>
          <t>991002052049702656</t>
        </is>
      </c>
      <c r="AY898" t="inlineStr">
        <is>
          <t>2271649110002656</t>
        </is>
      </c>
      <c r="AZ898" t="inlineStr">
        <is>
          <t>BOOK</t>
        </is>
      </c>
      <c r="BB898" t="inlineStr">
        <is>
          <t>9780801844713</t>
        </is>
      </c>
      <c r="BC898" t="inlineStr">
        <is>
          <t>32285001765808</t>
        </is>
      </c>
      <c r="BD898" t="inlineStr">
        <is>
          <t>893316321</t>
        </is>
      </c>
    </row>
    <row r="899">
      <c r="A899" t="inlineStr">
        <is>
          <t>No</t>
        </is>
      </c>
      <c r="B899" t="inlineStr">
        <is>
          <t>HV6964 .D46</t>
        </is>
      </c>
      <c r="C899" t="inlineStr">
        <is>
          <t>0                      HV 6964000D  46</t>
        </is>
      </c>
      <c r="D899" t="inlineStr">
        <is>
          <t>Deviants and the abandoned in French society : selections from the Annales, économies, sociétés, civilisations / edited by Robert Forster and Orest Ranum ; translated by Elborg Forster and Patricia M. Ranum.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L899" t="inlineStr">
        <is>
          <t>Baltimore : Johns Hopkins University Press, c1978.</t>
        </is>
      </c>
      <c r="M899" t="inlineStr">
        <is>
          <t>1978</t>
        </is>
      </c>
      <c r="O899" t="inlineStr">
        <is>
          <t>eng</t>
        </is>
      </c>
      <c r="P899" t="inlineStr">
        <is>
          <t>mdu</t>
        </is>
      </c>
      <c r="Q899" t="inlineStr">
        <is>
          <t>Annales, économies, sociétés, civilisations ; v.4</t>
        </is>
      </c>
      <c r="R899" t="inlineStr">
        <is>
          <t xml:space="preserve">HV </t>
        </is>
      </c>
      <c r="S899" t="n">
        <v>2</v>
      </c>
      <c r="T899" t="n">
        <v>2</v>
      </c>
      <c r="U899" t="inlineStr">
        <is>
          <t>1995-03-23</t>
        </is>
      </c>
      <c r="V899" t="inlineStr">
        <is>
          <t>1995-03-23</t>
        </is>
      </c>
      <c r="W899" t="inlineStr">
        <is>
          <t>1992-07-14</t>
        </is>
      </c>
      <c r="X899" t="inlineStr">
        <is>
          <t>1992-07-14</t>
        </is>
      </c>
      <c r="Y899" t="n">
        <v>529</v>
      </c>
      <c r="Z899" t="n">
        <v>459</v>
      </c>
      <c r="AA899" t="n">
        <v>480</v>
      </c>
      <c r="AB899" t="n">
        <v>5</v>
      </c>
      <c r="AC899" t="n">
        <v>5</v>
      </c>
      <c r="AD899" t="n">
        <v>29</v>
      </c>
      <c r="AE899" t="n">
        <v>29</v>
      </c>
      <c r="AF899" t="n">
        <v>7</v>
      </c>
      <c r="AG899" t="n">
        <v>7</v>
      </c>
      <c r="AH899" t="n">
        <v>9</v>
      </c>
      <c r="AI899" t="n">
        <v>9</v>
      </c>
      <c r="AJ899" t="n">
        <v>17</v>
      </c>
      <c r="AK899" t="n">
        <v>17</v>
      </c>
      <c r="AL899" t="n">
        <v>4</v>
      </c>
      <c r="AM899" t="n">
        <v>4</v>
      </c>
      <c r="AN899" t="n">
        <v>0</v>
      </c>
      <c r="AO899" t="n">
        <v>0</v>
      </c>
      <c r="AP899" t="inlineStr">
        <is>
          <t>No</t>
        </is>
      </c>
      <c r="AQ899" t="inlineStr">
        <is>
          <t>Yes</t>
        </is>
      </c>
      <c r="AR899">
        <f>HYPERLINK("http://catalog.hathitrust.org/Record/000131672","HathiTrust Record")</f>
        <v/>
      </c>
      <c r="AS899">
        <f>HYPERLINK("https://creighton-primo.hosted.exlibrisgroup.com/primo-explore/search?tab=default_tab&amp;search_scope=EVERYTHING&amp;vid=01CRU&amp;lang=en_US&amp;offset=0&amp;query=any,contains,991004499809702656","Catalog Record")</f>
        <v/>
      </c>
      <c r="AT899">
        <f>HYPERLINK("http://www.worldcat.org/oclc/3710798","WorldCat Record")</f>
        <v/>
      </c>
      <c r="AU899" t="inlineStr">
        <is>
          <t>861042815:eng</t>
        </is>
      </c>
      <c r="AV899" t="inlineStr">
        <is>
          <t>3710798</t>
        </is>
      </c>
      <c r="AW899" t="inlineStr">
        <is>
          <t>991004499809702656</t>
        </is>
      </c>
      <c r="AX899" t="inlineStr">
        <is>
          <t>991004499809702656</t>
        </is>
      </c>
      <c r="AY899" t="inlineStr">
        <is>
          <t>2263887020002656</t>
        </is>
      </c>
      <c r="AZ899" t="inlineStr">
        <is>
          <t>BOOK</t>
        </is>
      </c>
      <c r="BB899" t="inlineStr">
        <is>
          <t>9780801819919</t>
        </is>
      </c>
      <c r="BC899" t="inlineStr">
        <is>
          <t>32285001182194</t>
        </is>
      </c>
      <c r="BD899" t="inlineStr">
        <is>
          <t>893901296</t>
        </is>
      </c>
    </row>
    <row r="900">
      <c r="A900" t="inlineStr">
        <is>
          <t>No</t>
        </is>
      </c>
      <c r="B900" t="inlineStr">
        <is>
          <t>HV697 .M37 1983</t>
        </is>
      </c>
      <c r="C900" t="inlineStr">
        <is>
          <t>0                      HV 0697000M  37          1983</t>
        </is>
      </c>
      <c r="D900" t="inlineStr">
        <is>
          <t>Marriage and family assessment : a sourcebook for family therapy / edited by Erik E. Filsinger.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L900" t="inlineStr">
        <is>
          <t>Beverly Hills : Sage Publications, c1983.</t>
        </is>
      </c>
      <c r="M900" t="inlineStr">
        <is>
          <t>1983</t>
        </is>
      </c>
      <c r="O900" t="inlineStr">
        <is>
          <t>eng</t>
        </is>
      </c>
      <c r="P900" t="inlineStr">
        <is>
          <t>cau</t>
        </is>
      </c>
      <c r="R900" t="inlineStr">
        <is>
          <t xml:space="preserve">HV </t>
        </is>
      </c>
      <c r="S900" t="n">
        <v>9</v>
      </c>
      <c r="T900" t="n">
        <v>9</v>
      </c>
      <c r="U900" t="inlineStr">
        <is>
          <t>1999-07-15</t>
        </is>
      </c>
      <c r="V900" t="inlineStr">
        <is>
          <t>1999-07-15</t>
        </is>
      </c>
      <c r="W900" t="inlineStr">
        <is>
          <t>1990-04-23</t>
        </is>
      </c>
      <c r="X900" t="inlineStr">
        <is>
          <t>1990-04-23</t>
        </is>
      </c>
      <c r="Y900" t="n">
        <v>361</v>
      </c>
      <c r="Z900" t="n">
        <v>284</v>
      </c>
      <c r="AA900" t="n">
        <v>291</v>
      </c>
      <c r="AB900" t="n">
        <v>3</v>
      </c>
      <c r="AC900" t="n">
        <v>3</v>
      </c>
      <c r="AD900" t="n">
        <v>13</v>
      </c>
      <c r="AE900" t="n">
        <v>13</v>
      </c>
      <c r="AF900" t="n">
        <v>3</v>
      </c>
      <c r="AG900" t="n">
        <v>3</v>
      </c>
      <c r="AH900" t="n">
        <v>3</v>
      </c>
      <c r="AI900" t="n">
        <v>3</v>
      </c>
      <c r="AJ900" t="n">
        <v>8</v>
      </c>
      <c r="AK900" t="n">
        <v>8</v>
      </c>
      <c r="AL900" t="n">
        <v>2</v>
      </c>
      <c r="AM900" t="n">
        <v>2</v>
      </c>
      <c r="AN900" t="n">
        <v>0</v>
      </c>
      <c r="AO900" t="n">
        <v>0</v>
      </c>
      <c r="AP900" t="inlineStr">
        <is>
          <t>No</t>
        </is>
      </c>
      <c r="AQ900" t="inlineStr">
        <is>
          <t>Yes</t>
        </is>
      </c>
      <c r="AR900">
        <f>HYPERLINK("http://catalog.hathitrust.org/Record/000600522","HathiTrust Record")</f>
        <v/>
      </c>
      <c r="AS900">
        <f>HYPERLINK("https://creighton-primo.hosted.exlibrisgroup.com/primo-explore/search?tab=default_tab&amp;search_scope=EVERYTHING&amp;vid=01CRU&amp;lang=en_US&amp;offset=0&amp;query=any,contains,991000236349702656","Catalog Record")</f>
        <v/>
      </c>
      <c r="AT900">
        <f>HYPERLINK("http://www.worldcat.org/oclc/9647206","WorldCat Record")</f>
        <v/>
      </c>
      <c r="AU900" t="inlineStr">
        <is>
          <t>836622795:eng</t>
        </is>
      </c>
      <c r="AV900" t="inlineStr">
        <is>
          <t>9647206</t>
        </is>
      </c>
      <c r="AW900" t="inlineStr">
        <is>
          <t>991000236349702656</t>
        </is>
      </c>
      <c r="AX900" t="inlineStr">
        <is>
          <t>991000236349702656</t>
        </is>
      </c>
      <c r="AY900" t="inlineStr">
        <is>
          <t>2270698780002656</t>
        </is>
      </c>
      <c r="AZ900" t="inlineStr">
        <is>
          <t>BOOK</t>
        </is>
      </c>
      <c r="BB900" t="inlineStr">
        <is>
          <t>9780803920286</t>
        </is>
      </c>
      <c r="BC900" t="inlineStr">
        <is>
          <t>32285000130798</t>
        </is>
      </c>
      <c r="BD900" t="inlineStr">
        <is>
          <t>893626255</t>
        </is>
      </c>
    </row>
    <row r="901">
      <c r="A901" t="inlineStr">
        <is>
          <t>No</t>
        </is>
      </c>
      <c r="B901" t="inlineStr">
        <is>
          <t>HV697 .M55 1998</t>
        </is>
      </c>
      <c r="C901" t="inlineStr">
        <is>
          <t>0                      HV 0697000M  55          1998</t>
        </is>
      </c>
      <c r="D901" t="inlineStr">
        <is>
          <t>Working with families of the poor / Patricia Minuchin, Jorge Colapinto, Salvador Minuchin.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Minuchin, Patricia.</t>
        </is>
      </c>
      <c r="L901" t="inlineStr">
        <is>
          <t>New York : Guilford Press, c1998.</t>
        </is>
      </c>
      <c r="M901" t="inlineStr">
        <is>
          <t>1998</t>
        </is>
      </c>
      <c r="O901" t="inlineStr">
        <is>
          <t>eng</t>
        </is>
      </c>
      <c r="P901" t="inlineStr">
        <is>
          <t>nyu</t>
        </is>
      </c>
      <c r="Q901" t="inlineStr">
        <is>
          <t>The Guilford family therapy series</t>
        </is>
      </c>
      <c r="R901" t="inlineStr">
        <is>
          <t xml:space="preserve">HV </t>
        </is>
      </c>
      <c r="S901" t="n">
        <v>1</v>
      </c>
      <c r="T901" t="n">
        <v>1</v>
      </c>
      <c r="U901" t="inlineStr">
        <is>
          <t>2000-05-28</t>
        </is>
      </c>
      <c r="V901" t="inlineStr">
        <is>
          <t>2000-05-28</t>
        </is>
      </c>
      <c r="W901" t="inlineStr">
        <is>
          <t>1998-12-14</t>
        </is>
      </c>
      <c r="X901" t="inlineStr">
        <is>
          <t>1998-12-14</t>
        </is>
      </c>
      <c r="Y901" t="n">
        <v>560</v>
      </c>
      <c r="Z901" t="n">
        <v>484</v>
      </c>
      <c r="AA901" t="n">
        <v>711</v>
      </c>
      <c r="AB901" t="n">
        <v>4</v>
      </c>
      <c r="AC901" t="n">
        <v>4</v>
      </c>
      <c r="AD901" t="n">
        <v>14</v>
      </c>
      <c r="AE901" t="n">
        <v>23</v>
      </c>
      <c r="AF901" t="n">
        <v>4</v>
      </c>
      <c r="AG901" t="n">
        <v>9</v>
      </c>
      <c r="AH901" t="n">
        <v>3</v>
      </c>
      <c r="AI901" t="n">
        <v>5</v>
      </c>
      <c r="AJ901" t="n">
        <v>9</v>
      </c>
      <c r="AK901" t="n">
        <v>13</v>
      </c>
      <c r="AL901" t="n">
        <v>3</v>
      </c>
      <c r="AM901" t="n">
        <v>3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HYPERLINK("https://creighton-primo.hosted.exlibrisgroup.com/primo-explore/search?tab=default_tab&amp;search_scope=EVERYTHING&amp;vid=01CRU&amp;lang=en_US&amp;offset=0&amp;query=any,contains,991005428089702656","Catalog Record")</f>
        <v/>
      </c>
      <c r="AT901">
        <f>HYPERLINK("http://www.worldcat.org/oclc/38853768","WorldCat Record")</f>
        <v/>
      </c>
      <c r="AU901" t="inlineStr">
        <is>
          <t>937499:eng</t>
        </is>
      </c>
      <c r="AV901" t="inlineStr">
        <is>
          <t>38853768</t>
        </is>
      </c>
      <c r="AW901" t="inlineStr">
        <is>
          <t>991005428089702656</t>
        </is>
      </c>
      <c r="AX901" t="inlineStr">
        <is>
          <t>991005428089702656</t>
        </is>
      </c>
      <c r="AY901" t="inlineStr">
        <is>
          <t>2272593440002656</t>
        </is>
      </c>
      <c r="AZ901" t="inlineStr">
        <is>
          <t>BOOK</t>
        </is>
      </c>
      <c r="BB901" t="inlineStr">
        <is>
          <t>9781572303737</t>
        </is>
      </c>
      <c r="BC901" t="inlineStr">
        <is>
          <t>32285003506200</t>
        </is>
      </c>
      <c r="BD901" t="inlineStr">
        <is>
          <t>893626006</t>
        </is>
      </c>
    </row>
    <row r="902">
      <c r="A902" t="inlineStr">
        <is>
          <t>No</t>
        </is>
      </c>
      <c r="B902" t="inlineStr">
        <is>
          <t>HV697 .R35 1985</t>
        </is>
      </c>
      <c r="C902" t="inlineStr">
        <is>
          <t>0                      HV 0697000R  35          1985</t>
        </is>
      </c>
      <c r="D902" t="inlineStr">
        <is>
          <t>Family problem solving / William J. Reid.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Reid, William James, 1928-</t>
        </is>
      </c>
      <c r="L902" t="inlineStr">
        <is>
          <t>New York : Columbia University Press, 1985.</t>
        </is>
      </c>
      <c r="M902" t="inlineStr">
        <is>
          <t>1985</t>
        </is>
      </c>
      <c r="O902" t="inlineStr">
        <is>
          <t>eng</t>
        </is>
      </c>
      <c r="P902" t="inlineStr">
        <is>
          <t>nyu</t>
        </is>
      </c>
      <c r="R902" t="inlineStr">
        <is>
          <t xml:space="preserve">HV </t>
        </is>
      </c>
      <c r="S902" t="n">
        <v>2</v>
      </c>
      <c r="T902" t="n">
        <v>2</v>
      </c>
      <c r="U902" t="inlineStr">
        <is>
          <t>1996-04-22</t>
        </is>
      </c>
      <c r="V902" t="inlineStr">
        <is>
          <t>1996-04-22</t>
        </is>
      </c>
      <c r="W902" t="inlineStr">
        <is>
          <t>1992-07-10</t>
        </is>
      </c>
      <c r="X902" t="inlineStr">
        <is>
          <t>1992-07-10</t>
        </is>
      </c>
      <c r="Y902" t="n">
        <v>460</v>
      </c>
      <c r="Z902" t="n">
        <v>387</v>
      </c>
      <c r="AA902" t="n">
        <v>392</v>
      </c>
      <c r="AB902" t="n">
        <v>4</v>
      </c>
      <c r="AC902" t="n">
        <v>4</v>
      </c>
      <c r="AD902" t="n">
        <v>17</v>
      </c>
      <c r="AE902" t="n">
        <v>17</v>
      </c>
      <c r="AF902" t="n">
        <v>5</v>
      </c>
      <c r="AG902" t="n">
        <v>5</v>
      </c>
      <c r="AH902" t="n">
        <v>4</v>
      </c>
      <c r="AI902" t="n">
        <v>4</v>
      </c>
      <c r="AJ902" t="n">
        <v>8</v>
      </c>
      <c r="AK902" t="n">
        <v>8</v>
      </c>
      <c r="AL902" t="n">
        <v>3</v>
      </c>
      <c r="AM902" t="n">
        <v>3</v>
      </c>
      <c r="AN902" t="n">
        <v>0</v>
      </c>
      <c r="AO902" t="n">
        <v>0</v>
      </c>
      <c r="AP902" t="inlineStr">
        <is>
          <t>No</t>
        </is>
      </c>
      <c r="AQ902" t="inlineStr">
        <is>
          <t>No</t>
        </is>
      </c>
      <c r="AS902">
        <f>HYPERLINK("https://creighton-primo.hosted.exlibrisgroup.com/primo-explore/search?tab=default_tab&amp;search_scope=EVERYTHING&amp;vid=01CRU&amp;lang=en_US&amp;offset=0&amp;query=any,contains,991000604869702656","Catalog Record")</f>
        <v/>
      </c>
      <c r="AT902">
        <f>HYPERLINK("http://www.worldcat.org/oclc/11865636","WorldCat Record")</f>
        <v/>
      </c>
      <c r="AU902" t="inlineStr">
        <is>
          <t>1061326:eng</t>
        </is>
      </c>
      <c r="AV902" t="inlineStr">
        <is>
          <t>11865636</t>
        </is>
      </c>
      <c r="AW902" t="inlineStr">
        <is>
          <t>991000604869702656</t>
        </is>
      </c>
      <c r="AX902" t="inlineStr">
        <is>
          <t>991000604869702656</t>
        </is>
      </c>
      <c r="AY902" t="inlineStr">
        <is>
          <t>2264538700002656</t>
        </is>
      </c>
      <c r="AZ902" t="inlineStr">
        <is>
          <t>BOOK</t>
        </is>
      </c>
      <c r="BB902" t="inlineStr">
        <is>
          <t>9780231060578</t>
        </is>
      </c>
      <c r="BC902" t="inlineStr">
        <is>
          <t>32285001151710</t>
        </is>
      </c>
      <c r="BD902" t="inlineStr">
        <is>
          <t>893237452</t>
        </is>
      </c>
    </row>
    <row r="903">
      <c r="A903" t="inlineStr">
        <is>
          <t>No</t>
        </is>
      </c>
      <c r="B903" t="inlineStr">
        <is>
          <t>HV697 .S855 1991</t>
        </is>
      </c>
      <c r="C903" t="inlineStr">
        <is>
          <t>0                      HV 0697000S  855         1991</t>
        </is>
      </c>
      <c r="D903" t="inlineStr">
        <is>
          <t>Forgiving our parents, forgiving ourselves : healing adult children of dysfunctional families / David Stoop and James Masteller.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Stoop, David.</t>
        </is>
      </c>
      <c r="L903" t="inlineStr">
        <is>
          <t>Ann Arbor, Mich. : Vine Books, c1991.</t>
        </is>
      </c>
      <c r="M903" t="inlineStr">
        <is>
          <t>1991</t>
        </is>
      </c>
      <c r="O903" t="inlineStr">
        <is>
          <t>eng</t>
        </is>
      </c>
      <c r="P903" t="inlineStr">
        <is>
          <t>miu</t>
        </is>
      </c>
      <c r="R903" t="inlineStr">
        <is>
          <t xml:space="preserve">HV </t>
        </is>
      </c>
      <c r="S903" t="n">
        <v>4</v>
      </c>
      <c r="T903" t="n">
        <v>4</v>
      </c>
      <c r="U903" t="inlineStr">
        <is>
          <t>2005-01-28</t>
        </is>
      </c>
      <c r="V903" t="inlineStr">
        <is>
          <t>2005-01-28</t>
        </is>
      </c>
      <c r="W903" t="inlineStr">
        <is>
          <t>2002-08-15</t>
        </is>
      </c>
      <c r="X903" t="inlineStr">
        <is>
          <t>2002-08-15</t>
        </is>
      </c>
      <c r="Y903" t="n">
        <v>187</v>
      </c>
      <c r="Z903" t="n">
        <v>172</v>
      </c>
      <c r="AA903" t="n">
        <v>315</v>
      </c>
      <c r="AB903" t="n">
        <v>1</v>
      </c>
      <c r="AC903" t="n">
        <v>1</v>
      </c>
      <c r="AD903" t="n">
        <v>2</v>
      </c>
      <c r="AE903" t="n">
        <v>3</v>
      </c>
      <c r="AF903" t="n">
        <v>1</v>
      </c>
      <c r="AG903" t="n">
        <v>2</v>
      </c>
      <c r="AH903" t="n">
        <v>0</v>
      </c>
      <c r="AI903" t="n">
        <v>1</v>
      </c>
      <c r="AJ903" t="n">
        <v>2</v>
      </c>
      <c r="AK903" t="n">
        <v>2</v>
      </c>
      <c r="AL903" t="n">
        <v>0</v>
      </c>
      <c r="AM903" t="n">
        <v>0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HYPERLINK("http://catalog.hathitrust.org/Record/003781704","HathiTrust Record")</f>
        <v/>
      </c>
      <c r="AS903">
        <f>HYPERLINK("https://creighton-primo.hosted.exlibrisgroup.com/primo-explore/search?tab=default_tab&amp;search_scope=EVERYTHING&amp;vid=01CRU&amp;lang=en_US&amp;offset=0&amp;query=any,contains,991003859529702656","Catalog Record")</f>
        <v/>
      </c>
      <c r="AT903">
        <f>HYPERLINK("http://www.worldcat.org/oclc/24320409","WorldCat Record")</f>
        <v/>
      </c>
      <c r="AU903" t="inlineStr">
        <is>
          <t>12527615:eng</t>
        </is>
      </c>
      <c r="AV903" t="inlineStr">
        <is>
          <t>24320409</t>
        </is>
      </c>
      <c r="AW903" t="inlineStr">
        <is>
          <t>991003859529702656</t>
        </is>
      </c>
      <c r="AX903" t="inlineStr">
        <is>
          <t>991003859529702656</t>
        </is>
      </c>
      <c r="AY903" t="inlineStr">
        <is>
          <t>2272565160002656</t>
        </is>
      </c>
      <c r="AZ903" t="inlineStr">
        <is>
          <t>BOOK</t>
        </is>
      </c>
      <c r="BB903" t="inlineStr">
        <is>
          <t>9780892837120</t>
        </is>
      </c>
      <c r="BC903" t="inlineStr">
        <is>
          <t>32285004643564</t>
        </is>
      </c>
      <c r="BD903" t="inlineStr">
        <is>
          <t>893868965</t>
        </is>
      </c>
    </row>
    <row r="904">
      <c r="A904" t="inlineStr">
        <is>
          <t>No</t>
        </is>
      </c>
      <c r="B904" t="inlineStr">
        <is>
          <t>HV6973 .R84 1999</t>
        </is>
      </c>
      <c r="C904" t="inlineStr">
        <is>
          <t>0                      HV 6973000R  84          1999</t>
        </is>
      </c>
      <c r="D904" t="inlineStr">
        <is>
          <t>The crimes of women in early modern Germany / Ulinka Rublack.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Rublack, Ulinka.</t>
        </is>
      </c>
      <c r="L904" t="inlineStr">
        <is>
          <t>Oxford ; New York : Clarendon Press, 1999.</t>
        </is>
      </c>
      <c r="M904" t="inlineStr">
        <is>
          <t>1999</t>
        </is>
      </c>
      <c r="O904" t="inlineStr">
        <is>
          <t>eng</t>
        </is>
      </c>
      <c r="P904" t="inlineStr">
        <is>
          <t>enk</t>
        </is>
      </c>
      <c r="Q904" t="inlineStr">
        <is>
          <t>Oxford studies in social history</t>
        </is>
      </c>
      <c r="R904" t="inlineStr">
        <is>
          <t xml:space="preserve">HV </t>
        </is>
      </c>
      <c r="S904" t="n">
        <v>3</v>
      </c>
      <c r="T904" t="n">
        <v>3</v>
      </c>
      <c r="U904" t="inlineStr">
        <is>
          <t>2009-04-20</t>
        </is>
      </c>
      <c r="V904" t="inlineStr">
        <is>
          <t>2009-04-20</t>
        </is>
      </c>
      <c r="W904" t="inlineStr">
        <is>
          <t>2000-12-06</t>
        </is>
      </c>
      <c r="X904" t="inlineStr">
        <is>
          <t>2000-12-06</t>
        </is>
      </c>
      <c r="Y904" t="n">
        <v>366</v>
      </c>
      <c r="Z904" t="n">
        <v>275</v>
      </c>
      <c r="AA904" t="n">
        <v>349</v>
      </c>
      <c r="AB904" t="n">
        <v>3</v>
      </c>
      <c r="AC904" t="n">
        <v>3</v>
      </c>
      <c r="AD904" t="n">
        <v>15</v>
      </c>
      <c r="AE904" t="n">
        <v>19</v>
      </c>
      <c r="AF904" t="n">
        <v>6</v>
      </c>
      <c r="AG904" t="n">
        <v>6</v>
      </c>
      <c r="AH904" t="n">
        <v>5</v>
      </c>
      <c r="AI904" t="n">
        <v>8</v>
      </c>
      <c r="AJ904" t="n">
        <v>7</v>
      </c>
      <c r="AK904" t="n">
        <v>9</v>
      </c>
      <c r="AL904" t="n">
        <v>2</v>
      </c>
      <c r="AM904" t="n">
        <v>2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HYPERLINK("https://creighton-primo.hosted.exlibrisgroup.com/primo-explore/search?tab=default_tab&amp;search_scope=EVERYTHING&amp;vid=01CRU&amp;lang=en_US&amp;offset=0&amp;query=any,contains,991003300309702656","Catalog Record")</f>
        <v/>
      </c>
      <c r="AT904">
        <f>HYPERLINK("http://www.worldcat.org/oclc/38504258","WorldCat Record")</f>
        <v/>
      </c>
      <c r="AU904" t="inlineStr">
        <is>
          <t>20512127:eng</t>
        </is>
      </c>
      <c r="AV904" t="inlineStr">
        <is>
          <t>38504258</t>
        </is>
      </c>
      <c r="AW904" t="inlineStr">
        <is>
          <t>991003300309702656</t>
        </is>
      </c>
      <c r="AX904" t="inlineStr">
        <is>
          <t>991003300309702656</t>
        </is>
      </c>
      <c r="AY904" t="inlineStr">
        <is>
          <t>2266914490002656</t>
        </is>
      </c>
      <c r="AZ904" t="inlineStr">
        <is>
          <t>BOOK</t>
        </is>
      </c>
      <c r="BB904" t="inlineStr">
        <is>
          <t>9780198206378</t>
        </is>
      </c>
      <c r="BC904" t="inlineStr">
        <is>
          <t>32285004275334</t>
        </is>
      </c>
      <c r="BD904" t="inlineStr">
        <is>
          <t>893623351</t>
        </is>
      </c>
    </row>
    <row r="905">
      <c r="A905" t="inlineStr">
        <is>
          <t>No</t>
        </is>
      </c>
      <c r="B905" t="inlineStr">
        <is>
          <t>HV699 .A43 1993</t>
        </is>
      </c>
      <c r="C905" t="inlineStr">
        <is>
          <t>0                      HV 0699000A  43          1993</t>
        </is>
      </c>
      <c r="D905" t="inlineStr">
        <is>
          <t>Advancing family preservation practice / E. Susan Morton, R. Kevin Grigsby, editors.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Newbury Park, Calif. : Sage Publications, c1993.</t>
        </is>
      </c>
      <c r="M905" t="inlineStr">
        <is>
          <t>1993</t>
        </is>
      </c>
      <c r="O905" t="inlineStr">
        <is>
          <t>eng</t>
        </is>
      </c>
      <c r="P905" t="inlineStr">
        <is>
          <t>cau</t>
        </is>
      </c>
      <c r="Q905" t="inlineStr">
        <is>
          <t>Sage focus editions ; 150</t>
        </is>
      </c>
      <c r="R905" t="inlineStr">
        <is>
          <t xml:space="preserve">HV </t>
        </is>
      </c>
      <c r="S905" t="n">
        <v>8</v>
      </c>
      <c r="T905" t="n">
        <v>8</v>
      </c>
      <c r="U905" t="inlineStr">
        <is>
          <t>2000-11-05</t>
        </is>
      </c>
      <c r="V905" t="inlineStr">
        <is>
          <t>2000-11-05</t>
        </is>
      </c>
      <c r="W905" t="inlineStr">
        <is>
          <t>1993-06-07</t>
        </is>
      </c>
      <c r="X905" t="inlineStr">
        <is>
          <t>1993-06-07</t>
        </is>
      </c>
      <c r="Y905" t="n">
        <v>249</v>
      </c>
      <c r="Z905" t="n">
        <v>200</v>
      </c>
      <c r="AA905" t="n">
        <v>205</v>
      </c>
      <c r="AB905" t="n">
        <v>3</v>
      </c>
      <c r="AC905" t="n">
        <v>3</v>
      </c>
      <c r="AD905" t="n">
        <v>13</v>
      </c>
      <c r="AE905" t="n">
        <v>13</v>
      </c>
      <c r="AF905" t="n">
        <v>3</v>
      </c>
      <c r="AG905" t="n">
        <v>3</v>
      </c>
      <c r="AH905" t="n">
        <v>3</v>
      </c>
      <c r="AI905" t="n">
        <v>3</v>
      </c>
      <c r="AJ905" t="n">
        <v>7</v>
      </c>
      <c r="AK905" t="n">
        <v>7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No</t>
        </is>
      </c>
      <c r="AS905">
        <f>HYPERLINK("https://creighton-primo.hosted.exlibrisgroup.com/primo-explore/search?tab=default_tab&amp;search_scope=EVERYTHING&amp;vid=01CRU&amp;lang=en_US&amp;offset=0&amp;query=any,contains,991002082149702656","Catalog Record")</f>
        <v/>
      </c>
      <c r="AT905">
        <f>HYPERLINK("http://www.worldcat.org/oclc/26720137","WorldCat Record")</f>
        <v/>
      </c>
      <c r="AU905" t="inlineStr">
        <is>
          <t>29448257:eng</t>
        </is>
      </c>
      <c r="AV905" t="inlineStr">
        <is>
          <t>26720137</t>
        </is>
      </c>
      <c r="AW905" t="inlineStr">
        <is>
          <t>991002082149702656</t>
        </is>
      </c>
      <c r="AX905" t="inlineStr">
        <is>
          <t>991002082149702656</t>
        </is>
      </c>
      <c r="AY905" t="inlineStr">
        <is>
          <t>2271053030002656</t>
        </is>
      </c>
      <c r="AZ905" t="inlineStr">
        <is>
          <t>BOOK</t>
        </is>
      </c>
      <c r="BB905" t="inlineStr">
        <is>
          <t>9780803945708</t>
        </is>
      </c>
      <c r="BC905" t="inlineStr">
        <is>
          <t>32285001584662</t>
        </is>
      </c>
      <c r="BD905" t="inlineStr">
        <is>
          <t>893256852</t>
        </is>
      </c>
    </row>
    <row r="906">
      <c r="A906" t="inlineStr">
        <is>
          <t>No</t>
        </is>
      </c>
      <c r="B906" t="inlineStr">
        <is>
          <t>HV699 .A63 1987</t>
        </is>
      </c>
      <c r="C906" t="inlineStr">
        <is>
          <t>0                      HV 0699000A  63          1987</t>
        </is>
      </c>
      <c r="D906" t="inlineStr">
        <is>
          <t>America's family support programs : perspectives and prospects / edited by Sharon L. Kagan ... [et al.].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L906" t="inlineStr">
        <is>
          <t>New Haven, CT : Yale University Press, c1987.</t>
        </is>
      </c>
      <c r="M906" t="inlineStr">
        <is>
          <t>1987</t>
        </is>
      </c>
      <c r="O906" t="inlineStr">
        <is>
          <t>eng</t>
        </is>
      </c>
      <c r="P906" t="inlineStr">
        <is>
          <t>ctu</t>
        </is>
      </c>
      <c r="R906" t="inlineStr">
        <is>
          <t xml:space="preserve">HV </t>
        </is>
      </c>
      <c r="S906" t="n">
        <v>6</v>
      </c>
      <c r="T906" t="n">
        <v>6</v>
      </c>
      <c r="U906" t="inlineStr">
        <is>
          <t>1996-05-08</t>
        </is>
      </c>
      <c r="V906" t="inlineStr">
        <is>
          <t>1996-05-08</t>
        </is>
      </c>
      <c r="W906" t="inlineStr">
        <is>
          <t>1993-05-18</t>
        </is>
      </c>
      <c r="X906" t="inlineStr">
        <is>
          <t>1993-05-18</t>
        </is>
      </c>
      <c r="Y906" t="n">
        <v>564</v>
      </c>
      <c r="Z906" t="n">
        <v>490</v>
      </c>
      <c r="AA906" t="n">
        <v>491</v>
      </c>
      <c r="AB906" t="n">
        <v>3</v>
      </c>
      <c r="AC906" t="n">
        <v>3</v>
      </c>
      <c r="AD906" t="n">
        <v>23</v>
      </c>
      <c r="AE906" t="n">
        <v>23</v>
      </c>
      <c r="AF906" t="n">
        <v>8</v>
      </c>
      <c r="AG906" t="n">
        <v>8</v>
      </c>
      <c r="AH906" t="n">
        <v>5</v>
      </c>
      <c r="AI906" t="n">
        <v>5</v>
      </c>
      <c r="AJ906" t="n">
        <v>12</v>
      </c>
      <c r="AK906" t="n">
        <v>12</v>
      </c>
      <c r="AL906" t="n">
        <v>2</v>
      </c>
      <c r="AM906" t="n">
        <v>2</v>
      </c>
      <c r="AN906" t="n">
        <v>3</v>
      </c>
      <c r="AO906" t="n">
        <v>3</v>
      </c>
      <c r="AP906" t="inlineStr">
        <is>
          <t>No</t>
        </is>
      </c>
      <c r="AQ906" t="inlineStr">
        <is>
          <t>No</t>
        </is>
      </c>
      <c r="AS906">
        <f>HYPERLINK("https://creighton-primo.hosted.exlibrisgroup.com/primo-explore/search?tab=default_tab&amp;search_scope=EVERYTHING&amp;vid=01CRU&amp;lang=en_US&amp;offset=0&amp;query=any,contains,991001031589702656","Catalog Record")</f>
        <v/>
      </c>
      <c r="AT906">
        <f>HYPERLINK("http://www.worldcat.org/oclc/15518685","WorldCat Record")</f>
        <v/>
      </c>
      <c r="AU906" t="inlineStr">
        <is>
          <t>836716813:eng</t>
        </is>
      </c>
      <c r="AV906" t="inlineStr">
        <is>
          <t>15518685</t>
        </is>
      </c>
      <c r="AW906" t="inlineStr">
        <is>
          <t>991001031589702656</t>
        </is>
      </c>
      <c r="AX906" t="inlineStr">
        <is>
          <t>991001031589702656</t>
        </is>
      </c>
      <c r="AY906" t="inlineStr">
        <is>
          <t>2264670070002656</t>
        </is>
      </c>
      <c r="AZ906" t="inlineStr">
        <is>
          <t>BOOK</t>
        </is>
      </c>
      <c r="BB906" t="inlineStr">
        <is>
          <t>9780300038576</t>
        </is>
      </c>
      <c r="BC906" t="inlineStr">
        <is>
          <t>32285001682193</t>
        </is>
      </c>
      <c r="BD906" t="inlineStr">
        <is>
          <t>893589965</t>
        </is>
      </c>
    </row>
    <row r="907">
      <c r="A907" t="inlineStr">
        <is>
          <t>No</t>
        </is>
      </c>
      <c r="B907" t="inlineStr">
        <is>
          <t>HV699 .B35 2001</t>
        </is>
      </c>
      <c r="C907" t="inlineStr">
        <is>
          <t>0                      HV 0699000B  35          2001</t>
        </is>
      </c>
      <c r="D907" t="inlineStr">
        <is>
          <t>Balancing family-centered services and child well-being : exploring issues in policy, practice, theory, and research / Elaine Walton, Patricia Sandau-Beckler, Marc Mannes, editors.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L907" t="inlineStr">
        <is>
          <t>New York : Columbia University Press, c2001.</t>
        </is>
      </c>
      <c r="M907" t="inlineStr">
        <is>
          <t>2001</t>
        </is>
      </c>
      <c r="O907" t="inlineStr">
        <is>
          <t>eng</t>
        </is>
      </c>
      <c r="P907" t="inlineStr">
        <is>
          <t>nyu</t>
        </is>
      </c>
      <c r="R907" t="inlineStr">
        <is>
          <t xml:space="preserve">HV </t>
        </is>
      </c>
      <c r="S907" t="n">
        <v>3</v>
      </c>
      <c r="T907" t="n">
        <v>3</v>
      </c>
      <c r="U907" t="inlineStr">
        <is>
          <t>2003-04-22</t>
        </is>
      </c>
      <c r="V907" t="inlineStr">
        <is>
          <t>2003-04-22</t>
        </is>
      </c>
      <c r="W907" t="inlineStr">
        <is>
          <t>2001-11-15</t>
        </is>
      </c>
      <c r="X907" t="inlineStr">
        <is>
          <t>2001-11-15</t>
        </is>
      </c>
      <c r="Y907" t="n">
        <v>356</v>
      </c>
      <c r="Z907" t="n">
        <v>300</v>
      </c>
      <c r="AA907" t="n">
        <v>374</v>
      </c>
      <c r="AB907" t="n">
        <v>4</v>
      </c>
      <c r="AC907" t="n">
        <v>4</v>
      </c>
      <c r="AD907" t="n">
        <v>14</v>
      </c>
      <c r="AE907" t="n">
        <v>14</v>
      </c>
      <c r="AF907" t="n">
        <v>4</v>
      </c>
      <c r="AG907" t="n">
        <v>4</v>
      </c>
      <c r="AH907" t="n">
        <v>3</v>
      </c>
      <c r="AI907" t="n">
        <v>3</v>
      </c>
      <c r="AJ907" t="n">
        <v>7</v>
      </c>
      <c r="AK907" t="n">
        <v>7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HYPERLINK("https://creighton-primo.hosted.exlibrisgroup.com/primo-explore/search?tab=default_tab&amp;search_scope=EVERYTHING&amp;vid=01CRU&amp;lang=en_US&amp;offset=0&amp;query=any,contains,991003585679702656","Catalog Record")</f>
        <v/>
      </c>
      <c r="AT907">
        <f>HYPERLINK("http://www.worldcat.org/oclc/45446166","WorldCat Record")</f>
        <v/>
      </c>
      <c r="AU907" t="inlineStr">
        <is>
          <t>801325580:eng</t>
        </is>
      </c>
      <c r="AV907" t="inlineStr">
        <is>
          <t>45446166</t>
        </is>
      </c>
      <c r="AW907" t="inlineStr">
        <is>
          <t>991003585679702656</t>
        </is>
      </c>
      <c r="AX907" t="inlineStr">
        <is>
          <t>991003585679702656</t>
        </is>
      </c>
      <c r="AY907" t="inlineStr">
        <is>
          <t>2262311590002656</t>
        </is>
      </c>
      <c r="AZ907" t="inlineStr">
        <is>
          <t>BOOK</t>
        </is>
      </c>
      <c r="BB907" t="inlineStr">
        <is>
          <t>9780231112826</t>
        </is>
      </c>
      <c r="BC907" t="inlineStr">
        <is>
          <t>32285004411657</t>
        </is>
      </c>
      <c r="BD907" t="inlineStr">
        <is>
          <t>893893882</t>
        </is>
      </c>
    </row>
    <row r="908">
      <c r="A908" t="inlineStr">
        <is>
          <t>No</t>
        </is>
      </c>
      <c r="B908" t="inlineStr">
        <is>
          <t>HV699 .B36 1994</t>
        </is>
      </c>
      <c r="C908" t="inlineStr">
        <is>
          <t>0                      HV 0699000B  36          1994</t>
        </is>
      </c>
      <c r="D908" t="inlineStr">
        <is>
          <t>Welfare realities : from rhetoric to reform / Mary Jo Bane, David T. Ellwood.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Bane, Mary Jo.</t>
        </is>
      </c>
      <c r="L908" t="inlineStr">
        <is>
          <t>Cambridge, Mass. : Harvard University Press, 1994.</t>
        </is>
      </c>
      <c r="M908" t="inlineStr">
        <is>
          <t>1994</t>
        </is>
      </c>
      <c r="O908" t="inlineStr">
        <is>
          <t>eng</t>
        </is>
      </c>
      <c r="P908" t="inlineStr">
        <is>
          <t>mau</t>
        </is>
      </c>
      <c r="R908" t="inlineStr">
        <is>
          <t xml:space="preserve">HV </t>
        </is>
      </c>
      <c r="S908" t="n">
        <v>19</v>
      </c>
      <c r="T908" t="n">
        <v>19</v>
      </c>
      <c r="U908" t="inlineStr">
        <is>
          <t>1998-09-22</t>
        </is>
      </c>
      <c r="V908" t="inlineStr">
        <is>
          <t>1998-09-22</t>
        </is>
      </c>
      <c r="W908" t="inlineStr">
        <is>
          <t>1995-01-10</t>
        </is>
      </c>
      <c r="X908" t="inlineStr">
        <is>
          <t>1995-01-10</t>
        </is>
      </c>
      <c r="Y908" t="n">
        <v>961</v>
      </c>
      <c r="Z908" t="n">
        <v>857</v>
      </c>
      <c r="AA908" t="n">
        <v>873</v>
      </c>
      <c r="AB908" t="n">
        <v>5</v>
      </c>
      <c r="AC908" t="n">
        <v>5</v>
      </c>
      <c r="AD908" t="n">
        <v>43</v>
      </c>
      <c r="AE908" t="n">
        <v>43</v>
      </c>
      <c r="AF908" t="n">
        <v>17</v>
      </c>
      <c r="AG908" t="n">
        <v>17</v>
      </c>
      <c r="AH908" t="n">
        <v>8</v>
      </c>
      <c r="AI908" t="n">
        <v>8</v>
      </c>
      <c r="AJ908" t="n">
        <v>17</v>
      </c>
      <c r="AK908" t="n">
        <v>17</v>
      </c>
      <c r="AL908" t="n">
        <v>4</v>
      </c>
      <c r="AM908" t="n">
        <v>4</v>
      </c>
      <c r="AN908" t="n">
        <v>5</v>
      </c>
      <c r="AO908" t="n">
        <v>5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HYPERLINK("http://catalog.hathitrust.org/Record/002818113","HathiTrust Record")</f>
        <v/>
      </c>
      <c r="AS908">
        <f>HYPERLINK("https://creighton-primo.hosted.exlibrisgroup.com/primo-explore/search?tab=default_tab&amp;search_scope=EVERYTHING&amp;vid=01CRU&amp;lang=en_US&amp;offset=0&amp;query=any,contains,991002270839702656","Catalog Record")</f>
        <v/>
      </c>
      <c r="AT908">
        <f>HYPERLINK("http://www.worldcat.org/oclc/29469835","WorldCat Record")</f>
        <v/>
      </c>
      <c r="AU908" t="inlineStr">
        <is>
          <t>2685404:eng</t>
        </is>
      </c>
      <c r="AV908" t="inlineStr">
        <is>
          <t>29469835</t>
        </is>
      </c>
      <c r="AW908" t="inlineStr">
        <is>
          <t>991002270839702656</t>
        </is>
      </c>
      <c r="AX908" t="inlineStr">
        <is>
          <t>991002270839702656</t>
        </is>
      </c>
      <c r="AY908" t="inlineStr">
        <is>
          <t>2261642980002656</t>
        </is>
      </c>
      <c r="AZ908" t="inlineStr">
        <is>
          <t>BOOK</t>
        </is>
      </c>
      <c r="BB908" t="inlineStr">
        <is>
          <t>9780674949126</t>
        </is>
      </c>
      <c r="BC908" t="inlineStr">
        <is>
          <t>32285001992097</t>
        </is>
      </c>
      <c r="BD908" t="inlineStr">
        <is>
          <t>893609671</t>
        </is>
      </c>
    </row>
    <row r="909">
      <c r="A909" t="inlineStr">
        <is>
          <t>No</t>
        </is>
      </c>
      <c r="B909" t="inlineStr">
        <is>
          <t>HV699 .B47 1994</t>
        </is>
      </c>
      <c r="C909" t="inlineStr">
        <is>
          <t>0                      HV 0699000B  47          1994</t>
        </is>
      </c>
      <c r="D909" t="inlineStr">
        <is>
          <t>Family-based services : a solution-focused approach / Insoo Kim Berg.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Berg, Insoo Kim.</t>
        </is>
      </c>
      <c r="L909" t="inlineStr">
        <is>
          <t>New York : W.W. Norton, c1994.</t>
        </is>
      </c>
      <c r="M909" t="inlineStr">
        <is>
          <t>1994</t>
        </is>
      </c>
      <c r="O909" t="inlineStr">
        <is>
          <t>eng</t>
        </is>
      </c>
      <c r="P909" t="inlineStr">
        <is>
          <t>nyu</t>
        </is>
      </c>
      <c r="R909" t="inlineStr">
        <is>
          <t xml:space="preserve">HV </t>
        </is>
      </c>
      <c r="S909" t="n">
        <v>1</v>
      </c>
      <c r="T909" t="n">
        <v>1</v>
      </c>
      <c r="U909" t="inlineStr">
        <is>
          <t>2005-12-09</t>
        </is>
      </c>
      <c r="V909" t="inlineStr">
        <is>
          <t>2005-12-09</t>
        </is>
      </c>
      <c r="W909" t="inlineStr">
        <is>
          <t>2000-01-24</t>
        </is>
      </c>
      <c r="X909" t="inlineStr">
        <is>
          <t>2000-01-24</t>
        </is>
      </c>
      <c r="Y909" t="n">
        <v>507</v>
      </c>
      <c r="Z909" t="n">
        <v>391</v>
      </c>
      <c r="AA909" t="n">
        <v>397</v>
      </c>
      <c r="AB909" t="n">
        <v>3</v>
      </c>
      <c r="AC909" t="n">
        <v>3</v>
      </c>
      <c r="AD909" t="n">
        <v>18</v>
      </c>
      <c r="AE909" t="n">
        <v>18</v>
      </c>
      <c r="AF909" t="n">
        <v>8</v>
      </c>
      <c r="AG909" t="n">
        <v>8</v>
      </c>
      <c r="AH909" t="n">
        <v>3</v>
      </c>
      <c r="AI909" t="n">
        <v>3</v>
      </c>
      <c r="AJ909" t="n">
        <v>11</v>
      </c>
      <c r="AK909" t="n">
        <v>11</v>
      </c>
      <c r="AL909" t="n">
        <v>2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HYPERLINK("https://creighton-primo.hosted.exlibrisgroup.com/primo-explore/search?tab=default_tab&amp;search_scope=EVERYTHING&amp;vid=01CRU&amp;lang=en_US&amp;offset=0&amp;query=any,contains,991002275529702656","Catalog Record")</f>
        <v/>
      </c>
      <c r="AT909">
        <f>HYPERLINK("http://www.worldcat.org/oclc/29521644","WorldCat Record")</f>
        <v/>
      </c>
      <c r="AU909" t="inlineStr">
        <is>
          <t>54057634:eng</t>
        </is>
      </c>
      <c r="AV909" t="inlineStr">
        <is>
          <t>29521644</t>
        </is>
      </c>
      <c r="AW909" t="inlineStr">
        <is>
          <t>991002275529702656</t>
        </is>
      </c>
      <c r="AX909" t="inlineStr">
        <is>
          <t>991002275529702656</t>
        </is>
      </c>
      <c r="AY909" t="inlineStr">
        <is>
          <t>2268322410002656</t>
        </is>
      </c>
      <c r="AZ909" t="inlineStr">
        <is>
          <t>BOOK</t>
        </is>
      </c>
      <c r="BB909" t="inlineStr">
        <is>
          <t>9780393701623</t>
        </is>
      </c>
      <c r="BC909" t="inlineStr">
        <is>
          <t>32285003643706</t>
        </is>
      </c>
      <c r="BD909" t="inlineStr">
        <is>
          <t>893615921</t>
        </is>
      </c>
    </row>
    <row r="910">
      <c r="A910" t="inlineStr">
        <is>
          <t>No</t>
        </is>
      </c>
      <c r="B910" t="inlineStr">
        <is>
          <t>HV699 .B88 1988</t>
        </is>
      </c>
      <c r="C910" t="inlineStr">
        <is>
          <t>0                      HV 0699000B  88          1988</t>
        </is>
      </c>
      <c r="D910" t="inlineStr">
        <is>
          <t>Families in distress : public, private, and civic responses / Malcolm Bush.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Bush, Malcolm.</t>
        </is>
      </c>
      <c r="L910" t="inlineStr">
        <is>
          <t>Berkeley : University of California Press, c1988.</t>
        </is>
      </c>
      <c r="M910" t="inlineStr">
        <is>
          <t>1988</t>
        </is>
      </c>
      <c r="O910" t="inlineStr">
        <is>
          <t>eng</t>
        </is>
      </c>
      <c r="P910" t="inlineStr">
        <is>
          <t>cau</t>
        </is>
      </c>
      <c r="R910" t="inlineStr">
        <is>
          <t xml:space="preserve">HV </t>
        </is>
      </c>
      <c r="S910" t="n">
        <v>7</v>
      </c>
      <c r="T910" t="n">
        <v>7</v>
      </c>
      <c r="U910" t="inlineStr">
        <is>
          <t>2000-11-29</t>
        </is>
      </c>
      <c r="V910" t="inlineStr">
        <is>
          <t>2000-11-29</t>
        </is>
      </c>
      <c r="W910" t="inlineStr">
        <is>
          <t>1992-07-27</t>
        </is>
      </c>
      <c r="X910" t="inlineStr">
        <is>
          <t>1992-07-27</t>
        </is>
      </c>
      <c r="Y910" t="n">
        <v>441</v>
      </c>
      <c r="Z910" t="n">
        <v>366</v>
      </c>
      <c r="AA910" t="n">
        <v>371</v>
      </c>
      <c r="AB910" t="n">
        <v>3</v>
      </c>
      <c r="AC910" t="n">
        <v>3</v>
      </c>
      <c r="AD910" t="n">
        <v>16</v>
      </c>
      <c r="AE910" t="n">
        <v>16</v>
      </c>
      <c r="AF910" t="n">
        <v>4</v>
      </c>
      <c r="AG910" t="n">
        <v>4</v>
      </c>
      <c r="AH910" t="n">
        <v>5</v>
      </c>
      <c r="AI910" t="n">
        <v>5</v>
      </c>
      <c r="AJ910" t="n">
        <v>9</v>
      </c>
      <c r="AK910" t="n">
        <v>9</v>
      </c>
      <c r="AL910" t="n">
        <v>2</v>
      </c>
      <c r="AM910" t="n">
        <v>2</v>
      </c>
      <c r="AN910" t="n">
        <v>1</v>
      </c>
      <c r="AO910" t="n">
        <v>1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HYPERLINK("https://creighton-primo.hosted.exlibrisgroup.com/primo-explore/search?tab=default_tab&amp;search_scope=EVERYTHING&amp;vid=01CRU&amp;lang=en_US&amp;offset=0&amp;query=any,contains,991001004529702656","Catalog Record")</f>
        <v/>
      </c>
      <c r="AT910">
        <f>HYPERLINK("http://www.worldcat.org/oclc/15223977","WorldCat Record")</f>
        <v/>
      </c>
      <c r="AU910" t="inlineStr">
        <is>
          <t>836708968:eng</t>
        </is>
      </c>
      <c r="AV910" t="inlineStr">
        <is>
          <t>15223977</t>
        </is>
      </c>
      <c r="AW910" t="inlineStr">
        <is>
          <t>991001004529702656</t>
        </is>
      </c>
      <c r="AX910" t="inlineStr">
        <is>
          <t>991001004529702656</t>
        </is>
      </c>
      <c r="AY910" t="inlineStr">
        <is>
          <t>2266437570002656</t>
        </is>
      </c>
      <c r="AZ910" t="inlineStr">
        <is>
          <t>BOOK</t>
        </is>
      </c>
      <c r="BB910" t="inlineStr">
        <is>
          <t>9780520060944</t>
        </is>
      </c>
      <c r="BC910" t="inlineStr">
        <is>
          <t>32285001207132</t>
        </is>
      </c>
      <c r="BD910" t="inlineStr">
        <is>
          <t>893778466</t>
        </is>
      </c>
    </row>
    <row r="911">
      <c r="A911" t="inlineStr">
        <is>
          <t>No</t>
        </is>
      </c>
      <c r="B911" t="inlineStr">
        <is>
          <t>HV699 .C27 2007</t>
        </is>
      </c>
      <c r="C911" t="inlineStr">
        <is>
          <t>0                      HV 0699000C  27          2007</t>
        </is>
      </c>
      <c r="D911" t="inlineStr">
        <is>
          <t>Home-visiting strategies : a case-management guide for caregivers / Terry Eisenberg Carrilio.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Carrilio, Terry Eisenberg.</t>
        </is>
      </c>
      <c r="L911" t="inlineStr">
        <is>
          <t>Columbia, S.C. : University of South Carolina Press, c2007.</t>
        </is>
      </c>
      <c r="M911" t="inlineStr">
        <is>
          <t>2007</t>
        </is>
      </c>
      <c r="O911" t="inlineStr">
        <is>
          <t>eng</t>
        </is>
      </c>
      <c r="P911" t="inlineStr">
        <is>
          <t>scu</t>
        </is>
      </c>
      <c r="Q911" t="inlineStr">
        <is>
          <t>Social problems and social issues</t>
        </is>
      </c>
      <c r="R911" t="inlineStr">
        <is>
          <t xml:space="preserve">HV </t>
        </is>
      </c>
      <c r="S911" t="n">
        <v>1</v>
      </c>
      <c r="T911" t="n">
        <v>1</v>
      </c>
      <c r="U911" t="inlineStr">
        <is>
          <t>2008-11-06</t>
        </is>
      </c>
      <c r="V911" t="inlineStr">
        <is>
          <t>2008-11-06</t>
        </is>
      </c>
      <c r="W911" t="inlineStr">
        <is>
          <t>2008-11-06</t>
        </is>
      </c>
      <c r="X911" t="inlineStr">
        <is>
          <t>2008-11-06</t>
        </is>
      </c>
      <c r="Y911" t="n">
        <v>180</v>
      </c>
      <c r="Z911" t="n">
        <v>141</v>
      </c>
      <c r="AA911" t="n">
        <v>141</v>
      </c>
      <c r="AB911" t="n">
        <v>2</v>
      </c>
      <c r="AC911" t="n">
        <v>2</v>
      </c>
      <c r="AD911" t="n">
        <v>7</v>
      </c>
      <c r="AE911" t="n">
        <v>7</v>
      </c>
      <c r="AF911" t="n">
        <v>2</v>
      </c>
      <c r="AG911" t="n">
        <v>2</v>
      </c>
      <c r="AH911" t="n">
        <v>1</v>
      </c>
      <c r="AI911" t="n">
        <v>1</v>
      </c>
      <c r="AJ911" t="n">
        <v>3</v>
      </c>
      <c r="AK911" t="n">
        <v>3</v>
      </c>
      <c r="AL911" t="n">
        <v>1</v>
      </c>
      <c r="AM911" t="n">
        <v>1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HYPERLINK("https://creighton-primo.hosted.exlibrisgroup.com/primo-explore/search?tab=default_tab&amp;search_scope=EVERYTHING&amp;vid=01CRU&amp;lang=en_US&amp;offset=0&amp;query=any,contains,991005270929702656","Catalog Record")</f>
        <v/>
      </c>
      <c r="AT911">
        <f>HYPERLINK("http://www.worldcat.org/oclc/76937416","WorldCat Record")</f>
        <v/>
      </c>
      <c r="AU911" t="inlineStr">
        <is>
          <t>449849366:eng</t>
        </is>
      </c>
      <c r="AV911" t="inlineStr">
        <is>
          <t>76937416</t>
        </is>
      </c>
      <c r="AW911" t="inlineStr">
        <is>
          <t>991005270929702656</t>
        </is>
      </c>
      <c r="AX911" t="inlineStr">
        <is>
          <t>991005270929702656</t>
        </is>
      </c>
      <c r="AY911" t="inlineStr">
        <is>
          <t>2265769050002656</t>
        </is>
      </c>
      <c r="AZ911" t="inlineStr">
        <is>
          <t>BOOK</t>
        </is>
      </c>
      <c r="BB911" t="inlineStr">
        <is>
          <t>9781570036767</t>
        </is>
      </c>
      <c r="BC911" t="inlineStr">
        <is>
          <t>32285005466106</t>
        </is>
      </c>
      <c r="BD911" t="inlineStr">
        <is>
          <t>893536516</t>
        </is>
      </c>
    </row>
    <row r="912">
      <c r="A912" t="inlineStr">
        <is>
          <t>No</t>
        </is>
      </c>
      <c r="B912" t="inlineStr">
        <is>
          <t>HV699 .C545 1989</t>
        </is>
      </c>
      <c r="C912" t="inlineStr">
        <is>
          <t>0                      HV 0699000C  545         1989</t>
        </is>
      </c>
      <c r="D912" t="inlineStr">
        <is>
          <t>Family-centered practice : the interactional dance beyond the family system / John Victor Compher ; foreword by Edgar H. Averswald.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Compher, John Victor.</t>
        </is>
      </c>
      <c r="L912" t="inlineStr">
        <is>
          <t>New York, N.Y. : Human Sciences Press, c1989.</t>
        </is>
      </c>
      <c r="M912" t="inlineStr">
        <is>
          <t>1989</t>
        </is>
      </c>
      <c r="O912" t="inlineStr">
        <is>
          <t>eng</t>
        </is>
      </c>
      <c r="P912" t="inlineStr">
        <is>
          <t>nyu</t>
        </is>
      </c>
      <c r="R912" t="inlineStr">
        <is>
          <t xml:space="preserve">HV </t>
        </is>
      </c>
      <c r="S912" t="n">
        <v>7</v>
      </c>
      <c r="T912" t="n">
        <v>7</v>
      </c>
      <c r="U912" t="inlineStr">
        <is>
          <t>2005-06-16</t>
        </is>
      </c>
      <c r="V912" t="inlineStr">
        <is>
          <t>2005-06-16</t>
        </is>
      </c>
      <c r="W912" t="inlineStr">
        <is>
          <t>1990-06-18</t>
        </is>
      </c>
      <c r="X912" t="inlineStr">
        <is>
          <t>1990-06-18</t>
        </is>
      </c>
      <c r="Y912" t="n">
        <v>272</v>
      </c>
      <c r="Z912" t="n">
        <v>214</v>
      </c>
      <c r="AA912" t="n">
        <v>216</v>
      </c>
      <c r="AB912" t="n">
        <v>3</v>
      </c>
      <c r="AC912" t="n">
        <v>3</v>
      </c>
      <c r="AD912" t="n">
        <v>12</v>
      </c>
      <c r="AE912" t="n">
        <v>12</v>
      </c>
      <c r="AF912" t="n">
        <v>1</v>
      </c>
      <c r="AG912" t="n">
        <v>1</v>
      </c>
      <c r="AH912" t="n">
        <v>3</v>
      </c>
      <c r="AI912" t="n">
        <v>3</v>
      </c>
      <c r="AJ912" t="n">
        <v>7</v>
      </c>
      <c r="AK912" t="n">
        <v>7</v>
      </c>
      <c r="AL912" t="n">
        <v>2</v>
      </c>
      <c r="AM912" t="n">
        <v>2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HYPERLINK("http://catalog.hathitrust.org/Record/002171442","HathiTrust Record")</f>
        <v/>
      </c>
      <c r="AS912">
        <f>HYPERLINK("https://creighton-primo.hosted.exlibrisgroup.com/primo-explore/search?tab=default_tab&amp;search_scope=EVERYTHING&amp;vid=01CRU&amp;lang=en_US&amp;offset=0&amp;query=any,contains,991001194039702656","Catalog Record")</f>
        <v/>
      </c>
      <c r="AT912">
        <f>HYPERLINK("http://www.worldcat.org/oclc/17263953","WorldCat Record")</f>
        <v/>
      </c>
      <c r="AU912" t="inlineStr">
        <is>
          <t>368111314:eng</t>
        </is>
      </c>
      <c r="AV912" t="inlineStr">
        <is>
          <t>17263953</t>
        </is>
      </c>
      <c r="AW912" t="inlineStr">
        <is>
          <t>991001194039702656</t>
        </is>
      </c>
      <c r="AX912" t="inlineStr">
        <is>
          <t>991001194039702656</t>
        </is>
      </c>
      <c r="AY912" t="inlineStr">
        <is>
          <t>2266784090002656</t>
        </is>
      </c>
      <c r="AZ912" t="inlineStr">
        <is>
          <t>BOOK</t>
        </is>
      </c>
      <c r="BB912" t="inlineStr">
        <is>
          <t>9780898854220</t>
        </is>
      </c>
      <c r="BC912" t="inlineStr">
        <is>
          <t>32285000178409</t>
        </is>
      </c>
      <c r="BD912" t="inlineStr">
        <is>
          <t>893602403</t>
        </is>
      </c>
    </row>
    <row r="913">
      <c r="A913" t="inlineStr">
        <is>
          <t>No</t>
        </is>
      </c>
      <c r="B913" t="inlineStr">
        <is>
          <t>HV699 .E84 1995</t>
        </is>
      </c>
      <c r="C913" t="inlineStr">
        <is>
          <t>0                      HV 0699000E  84          1995</t>
        </is>
      </c>
      <c r="D913" t="inlineStr">
        <is>
          <t>Evaluating family-based services / Peter J. Pecora ... [et al.].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L913" t="inlineStr">
        <is>
          <t>New York : Aldine de Gruyter, c1995.</t>
        </is>
      </c>
      <c r="M913" t="inlineStr">
        <is>
          <t>1995</t>
        </is>
      </c>
      <c r="O913" t="inlineStr">
        <is>
          <t>eng</t>
        </is>
      </c>
      <c r="P913" t="inlineStr">
        <is>
          <t>nyu</t>
        </is>
      </c>
      <c r="Q913" t="inlineStr">
        <is>
          <t>Modern applications of social work</t>
        </is>
      </c>
      <c r="R913" t="inlineStr">
        <is>
          <t xml:space="preserve">HV </t>
        </is>
      </c>
      <c r="S913" t="n">
        <v>5</v>
      </c>
      <c r="T913" t="n">
        <v>5</v>
      </c>
      <c r="U913" t="inlineStr">
        <is>
          <t>2000-11-05</t>
        </is>
      </c>
      <c r="V913" t="inlineStr">
        <is>
          <t>2000-11-05</t>
        </is>
      </c>
      <c r="W913" t="inlineStr">
        <is>
          <t>1996-06-11</t>
        </is>
      </c>
      <c r="X913" t="inlineStr">
        <is>
          <t>1996-06-11</t>
        </is>
      </c>
      <c r="Y913" t="n">
        <v>325</v>
      </c>
      <c r="Z913" t="n">
        <v>263</v>
      </c>
      <c r="AA913" t="n">
        <v>283</v>
      </c>
      <c r="AB913" t="n">
        <v>4</v>
      </c>
      <c r="AC913" t="n">
        <v>4</v>
      </c>
      <c r="AD913" t="n">
        <v>14</v>
      </c>
      <c r="AE913" t="n">
        <v>14</v>
      </c>
      <c r="AF913" t="n">
        <v>3</v>
      </c>
      <c r="AG913" t="n">
        <v>3</v>
      </c>
      <c r="AH913" t="n">
        <v>2</v>
      </c>
      <c r="AI913" t="n">
        <v>2</v>
      </c>
      <c r="AJ913" t="n">
        <v>8</v>
      </c>
      <c r="AK913" t="n">
        <v>8</v>
      </c>
      <c r="AL913" t="n">
        <v>3</v>
      </c>
      <c r="AM913" t="n">
        <v>3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HYPERLINK("https://creighton-primo.hosted.exlibrisgroup.com/primo-explore/search?tab=default_tab&amp;search_scope=EVERYTHING&amp;vid=01CRU&amp;lang=en_US&amp;offset=0&amp;query=any,contains,991002443589702656","Catalog Record")</f>
        <v/>
      </c>
      <c r="AT913">
        <f>HYPERLINK("http://www.worldcat.org/oclc/31867413","WorldCat Record")</f>
        <v/>
      </c>
      <c r="AU913" t="inlineStr">
        <is>
          <t>33934379:eng</t>
        </is>
      </c>
      <c r="AV913" t="inlineStr">
        <is>
          <t>31867413</t>
        </is>
      </c>
      <c r="AW913" t="inlineStr">
        <is>
          <t>991002443589702656</t>
        </is>
      </c>
      <c r="AX913" t="inlineStr">
        <is>
          <t>991002443589702656</t>
        </is>
      </c>
      <c r="AY913" t="inlineStr">
        <is>
          <t>2257871380002656</t>
        </is>
      </c>
      <c r="AZ913" t="inlineStr">
        <is>
          <t>BOOK</t>
        </is>
      </c>
      <c r="BB913" t="inlineStr">
        <is>
          <t>9780202360935</t>
        </is>
      </c>
      <c r="BC913" t="inlineStr">
        <is>
          <t>32285002191061</t>
        </is>
      </c>
      <c r="BD913" t="inlineStr">
        <is>
          <t>893886282</t>
        </is>
      </c>
    </row>
    <row r="914">
      <c r="A914" t="inlineStr">
        <is>
          <t>No</t>
        </is>
      </c>
      <c r="B914" t="inlineStr">
        <is>
          <t>HV699 .F26 1991</t>
        </is>
      </c>
      <c r="C914" t="inlineStr">
        <is>
          <t>0                      HV 0699000F  26          1991</t>
        </is>
      </c>
      <c r="D914" t="inlineStr">
        <is>
          <t>Families in crisis : the impact of intensive family preservation services / Mark W. Fraser, Peter J. Pecora, and David A. Haapala, [editors].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L914" t="inlineStr">
        <is>
          <t>New York : A. de Gruyter, c1991.</t>
        </is>
      </c>
      <c r="M914" t="inlineStr">
        <is>
          <t>1991</t>
        </is>
      </c>
      <c r="O914" t="inlineStr">
        <is>
          <t>eng</t>
        </is>
      </c>
      <c r="P914" t="inlineStr">
        <is>
          <t>nyu</t>
        </is>
      </c>
      <c r="Q914" t="inlineStr">
        <is>
          <t>Modern applications of social work</t>
        </is>
      </c>
      <c r="R914" t="inlineStr">
        <is>
          <t xml:space="preserve">HV </t>
        </is>
      </c>
      <c r="S914" t="n">
        <v>1</v>
      </c>
      <c r="T914" t="n">
        <v>1</v>
      </c>
      <c r="U914" t="inlineStr">
        <is>
          <t>2000-11-29</t>
        </is>
      </c>
      <c r="V914" t="inlineStr">
        <is>
          <t>2000-11-29</t>
        </is>
      </c>
      <c r="W914" t="inlineStr">
        <is>
          <t>1995-07-23</t>
        </is>
      </c>
      <c r="X914" t="inlineStr">
        <is>
          <t>1995-07-23</t>
        </is>
      </c>
      <c r="Y914" t="n">
        <v>509</v>
      </c>
      <c r="Z914" t="n">
        <v>436</v>
      </c>
      <c r="AA914" t="n">
        <v>437</v>
      </c>
      <c r="AB914" t="n">
        <v>3</v>
      </c>
      <c r="AC914" t="n">
        <v>3</v>
      </c>
      <c r="AD914" t="n">
        <v>20</v>
      </c>
      <c r="AE914" t="n">
        <v>20</v>
      </c>
      <c r="AF914" t="n">
        <v>9</v>
      </c>
      <c r="AG914" t="n">
        <v>9</v>
      </c>
      <c r="AH914" t="n">
        <v>3</v>
      </c>
      <c r="AI914" t="n">
        <v>3</v>
      </c>
      <c r="AJ914" t="n">
        <v>9</v>
      </c>
      <c r="AK914" t="n">
        <v>9</v>
      </c>
      <c r="AL914" t="n">
        <v>2</v>
      </c>
      <c r="AM914" t="n">
        <v>2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HYPERLINK("https://creighton-primo.hosted.exlibrisgroup.com/primo-explore/search?tab=default_tab&amp;search_scope=EVERYTHING&amp;vid=01CRU&amp;lang=en_US&amp;offset=0&amp;query=any,contains,991001834929702656","Catalog Record")</f>
        <v/>
      </c>
      <c r="AT914">
        <f>HYPERLINK("http://www.worldcat.org/oclc/23048844","WorldCat Record")</f>
        <v/>
      </c>
      <c r="AU914" t="inlineStr">
        <is>
          <t>368110910:eng</t>
        </is>
      </c>
      <c r="AV914" t="inlineStr">
        <is>
          <t>23048844</t>
        </is>
      </c>
      <c r="AW914" t="inlineStr">
        <is>
          <t>991001834929702656</t>
        </is>
      </c>
      <c r="AX914" t="inlineStr">
        <is>
          <t>991001834929702656</t>
        </is>
      </c>
      <c r="AY914" t="inlineStr">
        <is>
          <t>2255888180002656</t>
        </is>
      </c>
      <c r="AZ914" t="inlineStr">
        <is>
          <t>BOOK</t>
        </is>
      </c>
      <c r="BB914" t="inlineStr">
        <is>
          <t>9780202360690</t>
        </is>
      </c>
      <c r="BC914" t="inlineStr">
        <is>
          <t>32285002075710</t>
        </is>
      </c>
      <c r="BD914" t="inlineStr">
        <is>
          <t>893879228</t>
        </is>
      </c>
    </row>
    <row r="915">
      <c r="A915" t="inlineStr">
        <is>
          <t>No</t>
        </is>
      </c>
      <c r="B915" t="inlineStr">
        <is>
          <t>HV699 .F317 1991</t>
        </is>
      </c>
      <c r="C915" t="inlineStr">
        <is>
          <t>0                      HV 0699000F  317         1991</t>
        </is>
      </c>
      <c r="D915" t="inlineStr">
        <is>
          <t>Family preservation services : research and evaluation / Kathleen Wells, David E. Biegel, editors.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L915" t="inlineStr">
        <is>
          <t>Newbury Park, Calif. : Sage, c1991.</t>
        </is>
      </c>
      <c r="M915" t="inlineStr">
        <is>
          <t>1990</t>
        </is>
      </c>
      <c r="O915" t="inlineStr">
        <is>
          <t>eng</t>
        </is>
      </c>
      <c r="P915" t="inlineStr">
        <is>
          <t>cau</t>
        </is>
      </c>
      <c r="Q915" t="inlineStr">
        <is>
          <t>Sage focus editions ; 129</t>
        </is>
      </c>
      <c r="R915" t="inlineStr">
        <is>
          <t xml:space="preserve">HV </t>
        </is>
      </c>
      <c r="S915" t="n">
        <v>7</v>
      </c>
      <c r="T915" t="n">
        <v>7</v>
      </c>
      <c r="U915" t="inlineStr">
        <is>
          <t>2008-08-13</t>
        </is>
      </c>
      <c r="V915" t="inlineStr">
        <is>
          <t>2008-08-13</t>
        </is>
      </c>
      <c r="W915" t="inlineStr">
        <is>
          <t>1991-12-15</t>
        </is>
      </c>
      <c r="X915" t="inlineStr">
        <is>
          <t>1991-12-15</t>
        </is>
      </c>
      <c r="Y915" t="n">
        <v>281</v>
      </c>
      <c r="Z915" t="n">
        <v>226</v>
      </c>
      <c r="AA915" t="n">
        <v>237</v>
      </c>
      <c r="AB915" t="n">
        <v>2</v>
      </c>
      <c r="AC915" t="n">
        <v>2</v>
      </c>
      <c r="AD915" t="n">
        <v>13</v>
      </c>
      <c r="AE915" t="n">
        <v>13</v>
      </c>
      <c r="AF915" t="n">
        <v>4</v>
      </c>
      <c r="AG915" t="n">
        <v>4</v>
      </c>
      <c r="AH915" t="n">
        <v>4</v>
      </c>
      <c r="AI915" t="n">
        <v>4</v>
      </c>
      <c r="AJ915" t="n">
        <v>7</v>
      </c>
      <c r="AK915" t="n">
        <v>7</v>
      </c>
      <c r="AL915" t="n">
        <v>1</v>
      </c>
      <c r="AM915" t="n">
        <v>1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HYPERLINK("http://catalog.hathitrust.org/Record/002466553","HathiTrust Record")</f>
        <v/>
      </c>
      <c r="AS915">
        <f>HYPERLINK("https://creighton-primo.hosted.exlibrisgroup.com/primo-explore/search?tab=default_tab&amp;search_scope=EVERYTHING&amp;vid=01CRU&amp;lang=en_US&amp;offset=0&amp;query=any,contains,991001814089702656","Catalog Record")</f>
        <v/>
      </c>
      <c r="AT915">
        <f>HYPERLINK("http://www.worldcat.org/oclc/22767442","WorldCat Record")</f>
        <v/>
      </c>
      <c r="AU915" t="inlineStr">
        <is>
          <t>836734775:eng</t>
        </is>
      </c>
      <c r="AV915" t="inlineStr">
        <is>
          <t>22767442</t>
        </is>
      </c>
      <c r="AW915" t="inlineStr">
        <is>
          <t>991001814089702656</t>
        </is>
      </c>
      <c r="AX915" t="inlineStr">
        <is>
          <t>991001814089702656</t>
        </is>
      </c>
      <c r="AY915" t="inlineStr">
        <is>
          <t>2261543210002656</t>
        </is>
      </c>
      <c r="AZ915" t="inlineStr">
        <is>
          <t>BOOK</t>
        </is>
      </c>
      <c r="BB915" t="inlineStr">
        <is>
          <t>9780803935167</t>
        </is>
      </c>
      <c r="BC915" t="inlineStr">
        <is>
          <t>32285000860154</t>
        </is>
      </c>
      <c r="BD915" t="inlineStr">
        <is>
          <t>893866508</t>
        </is>
      </c>
    </row>
    <row r="916">
      <c r="A916" t="inlineStr">
        <is>
          <t>No</t>
        </is>
      </c>
      <c r="B916" t="inlineStr">
        <is>
          <t>HV699 .G64 1992</t>
        </is>
      </c>
      <c r="C916" t="inlineStr">
        <is>
          <t>0                      HV 0699000G  64          1992</t>
        </is>
      </c>
      <c r="D916" t="inlineStr">
        <is>
          <t>Poor children and welfare reform / Olivia Golden ; foreword by Lisbeth Schorr.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K916" t="inlineStr">
        <is>
          <t>Golden, Olivia Ann.</t>
        </is>
      </c>
      <c r="L916" t="inlineStr">
        <is>
          <t>Westport, Conn. : Auburn House, 1992.</t>
        </is>
      </c>
      <c r="M916" t="inlineStr">
        <is>
          <t>1992</t>
        </is>
      </c>
      <c r="O916" t="inlineStr">
        <is>
          <t>eng</t>
        </is>
      </c>
      <c r="P916" t="inlineStr">
        <is>
          <t>ctu</t>
        </is>
      </c>
      <c r="R916" t="inlineStr">
        <is>
          <t xml:space="preserve">HV </t>
        </is>
      </c>
      <c r="S916" t="n">
        <v>8</v>
      </c>
      <c r="T916" t="n">
        <v>8</v>
      </c>
      <c r="U916" t="inlineStr">
        <is>
          <t>1998-10-21</t>
        </is>
      </c>
      <c r="V916" t="inlineStr">
        <is>
          <t>1998-10-21</t>
        </is>
      </c>
      <c r="W916" t="inlineStr">
        <is>
          <t>1993-05-13</t>
        </is>
      </c>
      <c r="X916" t="inlineStr">
        <is>
          <t>1993-05-13</t>
        </is>
      </c>
      <c r="Y916" t="n">
        <v>430</v>
      </c>
      <c r="Z916" t="n">
        <v>378</v>
      </c>
      <c r="AA916" t="n">
        <v>390</v>
      </c>
      <c r="AB916" t="n">
        <v>3</v>
      </c>
      <c r="AC916" t="n">
        <v>3</v>
      </c>
      <c r="AD916" t="n">
        <v>19</v>
      </c>
      <c r="AE916" t="n">
        <v>19</v>
      </c>
      <c r="AF916" t="n">
        <v>5</v>
      </c>
      <c r="AG916" t="n">
        <v>5</v>
      </c>
      <c r="AH916" t="n">
        <v>7</v>
      </c>
      <c r="AI916" t="n">
        <v>7</v>
      </c>
      <c r="AJ916" t="n">
        <v>9</v>
      </c>
      <c r="AK916" t="n">
        <v>9</v>
      </c>
      <c r="AL916" t="n">
        <v>2</v>
      </c>
      <c r="AM916" t="n">
        <v>2</v>
      </c>
      <c r="AN916" t="n">
        <v>0</v>
      </c>
      <c r="AO916" t="n">
        <v>0</v>
      </c>
      <c r="AP916" t="inlineStr">
        <is>
          <t>No</t>
        </is>
      </c>
      <c r="AQ916" t="inlineStr">
        <is>
          <t>Yes</t>
        </is>
      </c>
      <c r="AR916">
        <f>HYPERLINK("http://catalog.hathitrust.org/Record/002598745","HathiTrust Record")</f>
        <v/>
      </c>
      <c r="AS916">
        <f>HYPERLINK("https://creighton-primo.hosted.exlibrisgroup.com/primo-explore/search?tab=default_tab&amp;search_scope=EVERYTHING&amp;vid=01CRU&amp;lang=en_US&amp;offset=0&amp;query=any,contains,991001987149702656","Catalog Record")</f>
        <v/>
      </c>
      <c r="AT916">
        <f>HYPERLINK("http://www.worldcat.org/oclc/25246172","WorldCat Record")</f>
        <v/>
      </c>
      <c r="AU916" t="inlineStr">
        <is>
          <t>2846633:eng</t>
        </is>
      </c>
      <c r="AV916" t="inlineStr">
        <is>
          <t>25246172</t>
        </is>
      </c>
      <c r="AW916" t="inlineStr">
        <is>
          <t>991001987149702656</t>
        </is>
      </c>
      <c r="AX916" t="inlineStr">
        <is>
          <t>991001987149702656</t>
        </is>
      </c>
      <c r="AY916" t="inlineStr">
        <is>
          <t>2256323290002656</t>
        </is>
      </c>
      <c r="AZ916" t="inlineStr">
        <is>
          <t>BOOK</t>
        </is>
      </c>
      <c r="BB916" t="inlineStr">
        <is>
          <t>9780865690455</t>
        </is>
      </c>
      <c r="BC916" t="inlineStr">
        <is>
          <t>32285001581346</t>
        </is>
      </c>
      <c r="BD916" t="inlineStr">
        <is>
          <t>893427080</t>
        </is>
      </c>
    </row>
    <row r="917">
      <c r="A917" t="inlineStr">
        <is>
          <t>No</t>
        </is>
      </c>
      <c r="B917" t="inlineStr">
        <is>
          <t>HV699 .H345 2002</t>
        </is>
      </c>
      <c r="C917" t="inlineStr">
        <is>
          <t>0                      HV 0699000H  345         2002</t>
        </is>
      </c>
      <c r="D917" t="inlineStr">
        <is>
          <t>The poverty of life-affirming work : motherwork, education, and social change / Mechthild U. Hart.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Hart, Mechthild U. (Mechthild Ursula), 1948-</t>
        </is>
      </c>
      <c r="L917" t="inlineStr">
        <is>
          <t>Westport, Conn. : Greenwood Press, 2002.</t>
        </is>
      </c>
      <c r="M917" t="inlineStr">
        <is>
          <t>2002</t>
        </is>
      </c>
      <c r="O917" t="inlineStr">
        <is>
          <t>eng</t>
        </is>
      </c>
      <c r="P917" t="inlineStr">
        <is>
          <t>ctu</t>
        </is>
      </c>
      <c r="Q917" t="inlineStr">
        <is>
          <t>Contributions in women's studies, 0147-104X ; no. 194</t>
        </is>
      </c>
      <c r="R917" t="inlineStr">
        <is>
          <t xml:space="preserve">HV </t>
        </is>
      </c>
      <c r="S917" t="n">
        <v>5</v>
      </c>
      <c r="T917" t="n">
        <v>5</v>
      </c>
      <c r="U917" t="inlineStr">
        <is>
          <t>2006-10-29</t>
        </is>
      </c>
      <c r="V917" t="inlineStr">
        <is>
          <t>2006-10-29</t>
        </is>
      </c>
      <c r="W917" t="inlineStr">
        <is>
          <t>2002-09-09</t>
        </is>
      </c>
      <c r="X917" t="inlineStr">
        <is>
          <t>2002-09-09</t>
        </is>
      </c>
      <c r="Y917" t="n">
        <v>380</v>
      </c>
      <c r="Z917" t="n">
        <v>329</v>
      </c>
      <c r="AA917" t="n">
        <v>680</v>
      </c>
      <c r="AB917" t="n">
        <v>2</v>
      </c>
      <c r="AC917" t="n">
        <v>5</v>
      </c>
      <c r="AD917" t="n">
        <v>14</v>
      </c>
      <c r="AE917" t="n">
        <v>21</v>
      </c>
      <c r="AF917" t="n">
        <v>5</v>
      </c>
      <c r="AG917" t="n">
        <v>8</v>
      </c>
      <c r="AH917" t="n">
        <v>4</v>
      </c>
      <c r="AI917" t="n">
        <v>5</v>
      </c>
      <c r="AJ917" t="n">
        <v>8</v>
      </c>
      <c r="AK917" t="n">
        <v>10</v>
      </c>
      <c r="AL917" t="n">
        <v>1</v>
      </c>
      <c r="AM917" t="n">
        <v>4</v>
      </c>
      <c r="AN917" t="n">
        <v>0</v>
      </c>
      <c r="AO917" t="n">
        <v>0</v>
      </c>
      <c r="AP917" t="inlineStr">
        <is>
          <t>No</t>
        </is>
      </c>
      <c r="AQ917" t="inlineStr">
        <is>
          <t>No</t>
        </is>
      </c>
      <c r="AS917">
        <f>HYPERLINK("https://creighton-primo.hosted.exlibrisgroup.com/primo-explore/search?tab=default_tab&amp;search_scope=EVERYTHING&amp;vid=01CRU&amp;lang=en_US&amp;offset=0&amp;query=any,contains,991003842529702656","Catalog Record")</f>
        <v/>
      </c>
      <c r="AT917">
        <f>HYPERLINK("http://www.worldcat.org/oclc/47216466","WorldCat Record")</f>
        <v/>
      </c>
      <c r="AU917" t="inlineStr">
        <is>
          <t>2634370:eng</t>
        </is>
      </c>
      <c r="AV917" t="inlineStr">
        <is>
          <t>47216466</t>
        </is>
      </c>
      <c r="AW917" t="inlineStr">
        <is>
          <t>991003842529702656</t>
        </is>
      </c>
      <c r="AX917" t="inlineStr">
        <is>
          <t>991003842529702656</t>
        </is>
      </c>
      <c r="AY917" t="inlineStr">
        <is>
          <t>2255786630002656</t>
        </is>
      </c>
      <c r="AZ917" t="inlineStr">
        <is>
          <t>BOOK</t>
        </is>
      </c>
      <c r="BB917" t="inlineStr">
        <is>
          <t>9780313317767</t>
        </is>
      </c>
      <c r="BC917" t="inlineStr">
        <is>
          <t>32285004646195</t>
        </is>
      </c>
      <c r="BD917" t="inlineStr">
        <is>
          <t>893410763</t>
        </is>
      </c>
    </row>
    <row r="918">
      <c r="A918" t="inlineStr">
        <is>
          <t>No</t>
        </is>
      </c>
      <c r="B918" t="inlineStr">
        <is>
          <t>HV699 .H57 1983</t>
        </is>
      </c>
      <c r="C918" t="inlineStr">
        <is>
          <t>0                      HV 0699000H  57          1983</t>
        </is>
      </c>
      <c r="D918" t="inlineStr">
        <is>
          <t>Family assessment : tools for understanding and intervention / Adele M. Holman.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Holman, Adele M.</t>
        </is>
      </c>
      <c r="L918" t="inlineStr">
        <is>
          <t>Beverly Hills : Sage Publications, c1983.</t>
        </is>
      </c>
      <c r="M918" t="inlineStr">
        <is>
          <t>1983</t>
        </is>
      </c>
      <c r="O918" t="inlineStr">
        <is>
          <t>eng</t>
        </is>
      </c>
      <c r="P918" t="inlineStr">
        <is>
          <t>cau</t>
        </is>
      </c>
      <c r="Q918" t="inlineStr">
        <is>
          <t>A Sage human services guides ; v. 33</t>
        </is>
      </c>
      <c r="R918" t="inlineStr">
        <is>
          <t xml:space="preserve">HV </t>
        </is>
      </c>
      <c r="S918" t="n">
        <v>3</v>
      </c>
      <c r="T918" t="n">
        <v>3</v>
      </c>
      <c r="U918" t="inlineStr">
        <is>
          <t>1996-03-06</t>
        </is>
      </c>
      <c r="V918" t="inlineStr">
        <is>
          <t>1996-03-06</t>
        </is>
      </c>
      <c r="W918" t="inlineStr">
        <is>
          <t>1992-09-01</t>
        </is>
      </c>
      <c r="X918" t="inlineStr">
        <is>
          <t>1992-09-01</t>
        </is>
      </c>
      <c r="Y918" t="n">
        <v>563</v>
      </c>
      <c r="Z918" t="n">
        <v>456</v>
      </c>
      <c r="AA918" t="n">
        <v>462</v>
      </c>
      <c r="AB918" t="n">
        <v>4</v>
      </c>
      <c r="AC918" t="n">
        <v>4</v>
      </c>
      <c r="AD918" t="n">
        <v>22</v>
      </c>
      <c r="AE918" t="n">
        <v>22</v>
      </c>
      <c r="AF918" t="n">
        <v>8</v>
      </c>
      <c r="AG918" t="n">
        <v>8</v>
      </c>
      <c r="AH918" t="n">
        <v>6</v>
      </c>
      <c r="AI918" t="n">
        <v>6</v>
      </c>
      <c r="AJ918" t="n">
        <v>9</v>
      </c>
      <c r="AK918" t="n">
        <v>9</v>
      </c>
      <c r="AL918" t="n">
        <v>3</v>
      </c>
      <c r="AM918" t="n">
        <v>3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HYPERLINK("http://catalog.hathitrust.org/Record/000242268","HathiTrust Record")</f>
        <v/>
      </c>
      <c r="AS918">
        <f>HYPERLINK("https://creighton-primo.hosted.exlibrisgroup.com/primo-explore/search?tab=default_tab&amp;search_scope=EVERYTHING&amp;vid=01CRU&amp;lang=en_US&amp;offset=0&amp;query=any,contains,991000187129702656","Catalog Record")</f>
        <v/>
      </c>
      <c r="AT918">
        <f>HYPERLINK("http://www.worldcat.org/oclc/9394282","WorldCat Record")</f>
        <v/>
      </c>
      <c r="AU918" t="inlineStr">
        <is>
          <t>15842020:eng</t>
        </is>
      </c>
      <c r="AV918" t="inlineStr">
        <is>
          <t>9394282</t>
        </is>
      </c>
      <c r="AW918" t="inlineStr">
        <is>
          <t>991000187129702656</t>
        </is>
      </c>
      <c r="AX918" t="inlineStr">
        <is>
          <t>991000187129702656</t>
        </is>
      </c>
      <c r="AY918" t="inlineStr">
        <is>
          <t>2262944550002656</t>
        </is>
      </c>
      <c r="AZ918" t="inlineStr">
        <is>
          <t>BOOK</t>
        </is>
      </c>
      <c r="BB918" t="inlineStr">
        <is>
          <t>9780803920200</t>
        </is>
      </c>
      <c r="BC918" t="inlineStr">
        <is>
          <t>32285001284636</t>
        </is>
      </c>
      <c r="BD918" t="inlineStr">
        <is>
          <t>893683225</t>
        </is>
      </c>
    </row>
    <row r="919">
      <c r="A919" t="inlineStr">
        <is>
          <t>No</t>
        </is>
      </c>
      <c r="B919" t="inlineStr">
        <is>
          <t>HV699 .M47 1988</t>
        </is>
      </c>
      <c r="C919" t="inlineStr">
        <is>
          <t>0                      HV 0699000M  47          1988</t>
        </is>
      </c>
      <c r="D919" t="inlineStr">
        <is>
          <t>Mental illness, delinquency, addictions, and neglect / edited by Elam W. Nunnally, Catherine S. Chilman, Fred M. Cox.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L919" t="inlineStr">
        <is>
          <t>Newbury Park : Sage Publications, c1988.</t>
        </is>
      </c>
      <c r="M919" t="inlineStr">
        <is>
          <t>1988</t>
        </is>
      </c>
      <c r="O919" t="inlineStr">
        <is>
          <t>eng</t>
        </is>
      </c>
      <c r="P919" t="inlineStr">
        <is>
          <t>cau</t>
        </is>
      </c>
      <c r="Q919" t="inlineStr">
        <is>
          <t>Families in trouble series ; v. 4</t>
        </is>
      </c>
      <c r="R919" t="inlineStr">
        <is>
          <t xml:space="preserve">HV </t>
        </is>
      </c>
      <c r="S919" t="n">
        <v>4</v>
      </c>
      <c r="T919" t="n">
        <v>4</v>
      </c>
      <c r="U919" t="inlineStr">
        <is>
          <t>2005-06-16</t>
        </is>
      </c>
      <c r="V919" t="inlineStr">
        <is>
          <t>2005-06-16</t>
        </is>
      </c>
      <c r="W919" t="inlineStr">
        <is>
          <t>1991-01-04</t>
        </is>
      </c>
      <c r="X919" t="inlineStr">
        <is>
          <t>1991-01-04</t>
        </is>
      </c>
      <c r="Y919" t="n">
        <v>312</v>
      </c>
      <c r="Z919" t="n">
        <v>250</v>
      </c>
      <c r="AA919" t="n">
        <v>257</v>
      </c>
      <c r="AB919" t="n">
        <v>4</v>
      </c>
      <c r="AC919" t="n">
        <v>4</v>
      </c>
      <c r="AD919" t="n">
        <v>15</v>
      </c>
      <c r="AE919" t="n">
        <v>15</v>
      </c>
      <c r="AF919" t="n">
        <v>5</v>
      </c>
      <c r="AG919" t="n">
        <v>5</v>
      </c>
      <c r="AH919" t="n">
        <v>2</v>
      </c>
      <c r="AI919" t="n">
        <v>2</v>
      </c>
      <c r="AJ919" t="n">
        <v>7</v>
      </c>
      <c r="AK919" t="n">
        <v>7</v>
      </c>
      <c r="AL919" t="n">
        <v>3</v>
      </c>
      <c r="AM919" t="n">
        <v>3</v>
      </c>
      <c r="AN919" t="n">
        <v>0</v>
      </c>
      <c r="AO919" t="n">
        <v>0</v>
      </c>
      <c r="AP919" t="inlineStr">
        <is>
          <t>No</t>
        </is>
      </c>
      <c r="AQ919" t="inlineStr">
        <is>
          <t>No</t>
        </is>
      </c>
      <c r="AS919">
        <f>HYPERLINK("https://creighton-primo.hosted.exlibrisgroup.com/primo-explore/search?tab=default_tab&amp;search_scope=EVERYTHING&amp;vid=01CRU&amp;lang=en_US&amp;offset=0&amp;query=any,contains,991001641539702656","Catalog Record")</f>
        <v/>
      </c>
      <c r="AT919">
        <f>HYPERLINK("http://www.worldcat.org/oclc/21033899","WorldCat Record")</f>
        <v/>
      </c>
      <c r="AU919" t="inlineStr">
        <is>
          <t>375733667:eng</t>
        </is>
      </c>
      <c r="AV919" t="inlineStr">
        <is>
          <t>21033899</t>
        </is>
      </c>
      <c r="AW919" t="inlineStr">
        <is>
          <t>991001641539702656</t>
        </is>
      </c>
      <c r="AX919" t="inlineStr">
        <is>
          <t>991001641539702656</t>
        </is>
      </c>
      <c r="AY919" t="inlineStr">
        <is>
          <t>2271756990002656</t>
        </is>
      </c>
      <c r="AZ919" t="inlineStr">
        <is>
          <t>BOOK</t>
        </is>
      </c>
      <c r="BB919" t="inlineStr">
        <is>
          <t>9780803927056</t>
        </is>
      </c>
      <c r="BC919" t="inlineStr">
        <is>
          <t>32285000407154</t>
        </is>
      </c>
      <c r="BD919" t="inlineStr">
        <is>
          <t>893238223</t>
        </is>
      </c>
    </row>
    <row r="920">
      <c r="A920" t="inlineStr">
        <is>
          <t>No</t>
        </is>
      </c>
      <c r="B920" t="inlineStr">
        <is>
          <t>HV699 .N44 1992</t>
        </is>
      </c>
      <c r="C920" t="inlineStr">
        <is>
          <t>0                      HV 0699000N  44          1992</t>
        </is>
      </c>
      <c r="D920" t="inlineStr">
        <is>
          <t>Alternative models of family preservation : family-based services in context / by Kristine E. Nelson, Miriam J. Landsman.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Nelson, Kristine E.</t>
        </is>
      </c>
      <c r="L920" t="inlineStr">
        <is>
          <t>Springfield, Ill. : Thomas, c1992.</t>
        </is>
      </c>
      <c r="M920" t="inlineStr">
        <is>
          <t>1992</t>
        </is>
      </c>
      <c r="O920" t="inlineStr">
        <is>
          <t>eng</t>
        </is>
      </c>
      <c r="P920" t="inlineStr">
        <is>
          <t>ilu</t>
        </is>
      </c>
      <c r="R920" t="inlineStr">
        <is>
          <t xml:space="preserve">HV </t>
        </is>
      </c>
      <c r="S920" t="n">
        <v>8</v>
      </c>
      <c r="T920" t="n">
        <v>8</v>
      </c>
      <c r="U920" t="inlineStr">
        <is>
          <t>2005-06-16</t>
        </is>
      </c>
      <c r="V920" t="inlineStr">
        <is>
          <t>2005-06-16</t>
        </is>
      </c>
      <c r="W920" t="inlineStr">
        <is>
          <t>1993-03-25</t>
        </is>
      </c>
      <c r="X920" t="inlineStr">
        <is>
          <t>1993-03-25</t>
        </is>
      </c>
      <c r="Y920" t="n">
        <v>181</v>
      </c>
      <c r="Z920" t="n">
        <v>148</v>
      </c>
      <c r="AA920" t="n">
        <v>148</v>
      </c>
      <c r="AB920" t="n">
        <v>3</v>
      </c>
      <c r="AC920" t="n">
        <v>3</v>
      </c>
      <c r="AD920" t="n">
        <v>9</v>
      </c>
      <c r="AE920" t="n">
        <v>9</v>
      </c>
      <c r="AF920" t="n">
        <v>2</v>
      </c>
      <c r="AG920" t="n">
        <v>2</v>
      </c>
      <c r="AH920" t="n">
        <v>2</v>
      </c>
      <c r="AI920" t="n">
        <v>2</v>
      </c>
      <c r="AJ920" t="n">
        <v>4</v>
      </c>
      <c r="AK920" t="n">
        <v>4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HYPERLINK("https://creighton-primo.hosted.exlibrisgroup.com/primo-explore/search?tab=default_tab&amp;search_scope=EVERYTHING&amp;vid=01CRU&amp;lang=en_US&amp;offset=0&amp;query=any,contains,991002023879702656","Catalog Record")</f>
        <v/>
      </c>
      <c r="AT920">
        <f>HYPERLINK("http://www.worldcat.org/oclc/25747428","WorldCat Record")</f>
        <v/>
      </c>
      <c r="AU920" t="inlineStr">
        <is>
          <t>476312165:eng</t>
        </is>
      </c>
      <c r="AV920" t="inlineStr">
        <is>
          <t>25747428</t>
        </is>
      </c>
      <c r="AW920" t="inlineStr">
        <is>
          <t>991002023879702656</t>
        </is>
      </c>
      <c r="AX920" t="inlineStr">
        <is>
          <t>991002023879702656</t>
        </is>
      </c>
      <c r="AY920" t="inlineStr">
        <is>
          <t>2271710630002656</t>
        </is>
      </c>
      <c r="AZ920" t="inlineStr">
        <is>
          <t>BOOK</t>
        </is>
      </c>
      <c r="BB920" t="inlineStr">
        <is>
          <t>9780398058104</t>
        </is>
      </c>
      <c r="BC920" t="inlineStr">
        <is>
          <t>32285001498657</t>
        </is>
      </c>
      <c r="BD920" t="inlineStr">
        <is>
          <t>893603123</t>
        </is>
      </c>
    </row>
    <row r="921">
      <c r="A921" t="inlineStr">
        <is>
          <t>No</t>
        </is>
      </c>
      <c r="B921" t="inlineStr">
        <is>
          <t>HV699 .P88 1994</t>
        </is>
      </c>
      <c r="C921" t="inlineStr">
        <is>
          <t>0                      HV 0699000P  88          1994</t>
        </is>
      </c>
      <c r="D921" t="inlineStr">
        <is>
          <t>Putting families first : America's family support movement and the challenge of change / Sharon L. Kagan and Bernice Weissbourd, editors.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L921" t="inlineStr">
        <is>
          <t>San Francisco : Jossey-Bass, c1994.</t>
        </is>
      </c>
      <c r="M921" t="inlineStr">
        <is>
          <t>1994</t>
        </is>
      </c>
      <c r="N921" t="inlineStr">
        <is>
          <t>1st ed.</t>
        </is>
      </c>
      <c r="O921" t="inlineStr">
        <is>
          <t>eng</t>
        </is>
      </c>
      <c r="P921" t="inlineStr">
        <is>
          <t>cau</t>
        </is>
      </c>
      <c r="Q921" t="inlineStr">
        <is>
          <t>Jossey-Bass education series</t>
        </is>
      </c>
      <c r="R921" t="inlineStr">
        <is>
          <t xml:space="preserve">HV </t>
        </is>
      </c>
      <c r="S921" t="n">
        <v>8</v>
      </c>
      <c r="T921" t="n">
        <v>8</v>
      </c>
      <c r="U921" t="inlineStr">
        <is>
          <t>2005-04-18</t>
        </is>
      </c>
      <c r="V921" t="inlineStr">
        <is>
          <t>2005-04-18</t>
        </is>
      </c>
      <c r="W921" t="inlineStr">
        <is>
          <t>1996-12-11</t>
        </is>
      </c>
      <c r="X921" t="inlineStr">
        <is>
          <t>1996-12-11</t>
        </is>
      </c>
      <c r="Y921" t="n">
        <v>592</v>
      </c>
      <c r="Z921" t="n">
        <v>539</v>
      </c>
      <c r="AA921" t="n">
        <v>545</v>
      </c>
      <c r="AB921" t="n">
        <v>6</v>
      </c>
      <c r="AC921" t="n">
        <v>6</v>
      </c>
      <c r="AD921" t="n">
        <v>26</v>
      </c>
      <c r="AE921" t="n">
        <v>26</v>
      </c>
      <c r="AF921" t="n">
        <v>9</v>
      </c>
      <c r="AG921" t="n">
        <v>9</v>
      </c>
      <c r="AH921" t="n">
        <v>6</v>
      </c>
      <c r="AI921" t="n">
        <v>6</v>
      </c>
      <c r="AJ921" t="n">
        <v>11</v>
      </c>
      <c r="AK921" t="n">
        <v>11</v>
      </c>
      <c r="AL921" t="n">
        <v>5</v>
      </c>
      <c r="AM921" t="n">
        <v>5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HYPERLINK("http://catalog.hathitrust.org/Record/002883060","HathiTrust Record")</f>
        <v/>
      </c>
      <c r="AS921">
        <f>HYPERLINK("https://creighton-primo.hosted.exlibrisgroup.com/primo-explore/search?tab=default_tab&amp;search_scope=EVERYTHING&amp;vid=01CRU&amp;lang=en_US&amp;offset=0&amp;query=any,contains,991002320289702656","Catalog Record")</f>
        <v/>
      </c>
      <c r="AT921">
        <f>HYPERLINK("http://www.worldcat.org/oclc/30108536","WorldCat Record")</f>
        <v/>
      </c>
      <c r="AU921" t="inlineStr">
        <is>
          <t>908893994:eng</t>
        </is>
      </c>
      <c r="AV921" t="inlineStr">
        <is>
          <t>30108536</t>
        </is>
      </c>
      <c r="AW921" t="inlineStr">
        <is>
          <t>991002320289702656</t>
        </is>
      </c>
      <c r="AX921" t="inlineStr">
        <is>
          <t>991002320289702656</t>
        </is>
      </c>
      <c r="AY921" t="inlineStr">
        <is>
          <t>2263109370002656</t>
        </is>
      </c>
      <c r="AZ921" t="inlineStr">
        <is>
          <t>BOOK</t>
        </is>
      </c>
      <c r="BB921" t="inlineStr">
        <is>
          <t>9781555426675</t>
        </is>
      </c>
      <c r="BC921" t="inlineStr">
        <is>
          <t>32285002392313</t>
        </is>
      </c>
      <c r="BD921" t="inlineStr">
        <is>
          <t>893347370</t>
        </is>
      </c>
    </row>
    <row r="922">
      <c r="A922" t="inlineStr">
        <is>
          <t>No</t>
        </is>
      </c>
      <c r="B922" t="inlineStr">
        <is>
          <t>HV699 .S527 1996</t>
        </is>
      </c>
      <c r="C922" t="inlineStr">
        <is>
          <t>0                      HV 0699000S  527         1996</t>
        </is>
      </c>
      <c r="D922" t="inlineStr">
        <is>
          <t>Keeping women and children last : America's war on the poor / Ruth Sidel.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Sidel, Ruth.</t>
        </is>
      </c>
      <c r="L922" t="inlineStr">
        <is>
          <t>New York, N.Y. : Penguin Books, 1996.</t>
        </is>
      </c>
      <c r="M922" t="inlineStr">
        <is>
          <t>1996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HV </t>
        </is>
      </c>
      <c r="S922" t="n">
        <v>11</v>
      </c>
      <c r="T922" t="n">
        <v>11</v>
      </c>
      <c r="U922" t="inlineStr">
        <is>
          <t>2002-10-21</t>
        </is>
      </c>
      <c r="V922" t="inlineStr">
        <is>
          <t>2002-10-21</t>
        </is>
      </c>
      <c r="W922" t="inlineStr">
        <is>
          <t>1996-10-01</t>
        </is>
      </c>
      <c r="X922" t="inlineStr">
        <is>
          <t>1996-10-01</t>
        </is>
      </c>
      <c r="Y922" t="n">
        <v>697</v>
      </c>
      <c r="Z922" t="n">
        <v>660</v>
      </c>
      <c r="AA922" t="n">
        <v>874</v>
      </c>
      <c r="AB922" t="n">
        <v>5</v>
      </c>
      <c r="AC922" t="n">
        <v>7</v>
      </c>
      <c r="AD922" t="n">
        <v>22</v>
      </c>
      <c r="AE922" t="n">
        <v>34</v>
      </c>
      <c r="AF922" t="n">
        <v>8</v>
      </c>
      <c r="AG922" t="n">
        <v>12</v>
      </c>
      <c r="AH922" t="n">
        <v>4</v>
      </c>
      <c r="AI922" t="n">
        <v>9</v>
      </c>
      <c r="AJ922" t="n">
        <v>12</v>
      </c>
      <c r="AK922" t="n">
        <v>17</v>
      </c>
      <c r="AL922" t="n">
        <v>4</v>
      </c>
      <c r="AM922" t="n">
        <v>6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HYPERLINK("http://catalog.hathitrust.org/Record/003069510","HathiTrust Record")</f>
        <v/>
      </c>
      <c r="AS922">
        <f>HYPERLINK("https://creighton-primo.hosted.exlibrisgroup.com/primo-explore/search?tab=default_tab&amp;search_scope=EVERYTHING&amp;vid=01CRU&amp;lang=en_US&amp;offset=0&amp;query=any,contains,991002578759702656","Catalog Record")</f>
        <v/>
      </c>
      <c r="AT922">
        <f>HYPERLINK("http://www.worldcat.org/oclc/33668143","WorldCat Record")</f>
        <v/>
      </c>
      <c r="AU922" t="inlineStr">
        <is>
          <t>24132037:eng</t>
        </is>
      </c>
      <c r="AV922" t="inlineStr">
        <is>
          <t>33668143</t>
        </is>
      </c>
      <c r="AW922" t="inlineStr">
        <is>
          <t>991002578759702656</t>
        </is>
      </c>
      <c r="AX922" t="inlineStr">
        <is>
          <t>991002578759702656</t>
        </is>
      </c>
      <c r="AY922" t="inlineStr">
        <is>
          <t>2256581790002656</t>
        </is>
      </c>
      <c r="AZ922" t="inlineStr">
        <is>
          <t>BOOK</t>
        </is>
      </c>
      <c r="BB922" t="inlineStr">
        <is>
          <t>9780140246636</t>
        </is>
      </c>
      <c r="BC922" t="inlineStr">
        <is>
          <t>32285002321494</t>
        </is>
      </c>
      <c r="BD922" t="inlineStr">
        <is>
          <t>893329269</t>
        </is>
      </c>
    </row>
    <row r="923">
      <c r="A923" t="inlineStr">
        <is>
          <t>No</t>
        </is>
      </c>
      <c r="B923" t="inlineStr">
        <is>
          <t>HV699 .T76 1988</t>
        </is>
      </c>
      <c r="C923" t="inlineStr">
        <is>
          <t>0                      HV 0699000T  76          1988</t>
        </is>
      </c>
      <c r="D923" t="inlineStr">
        <is>
          <t>Troubled relationships / edited by Elam W. Nunnally, Catherine S. Chilman, Fred M. Cox.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L923" t="inlineStr">
        <is>
          <t>Newbury Park, Calif. : Sage Publications, c1988.</t>
        </is>
      </c>
      <c r="M923" t="inlineStr">
        <is>
          <t>1988</t>
        </is>
      </c>
      <c r="O923" t="inlineStr">
        <is>
          <t>eng</t>
        </is>
      </c>
      <c r="P923" t="inlineStr">
        <is>
          <t>cau</t>
        </is>
      </c>
      <c r="Q923" t="inlineStr">
        <is>
          <t>Families in trouble series ; v. 3</t>
        </is>
      </c>
      <c r="R923" t="inlineStr">
        <is>
          <t xml:space="preserve">HV </t>
        </is>
      </c>
      <c r="S923" t="n">
        <v>4</v>
      </c>
      <c r="T923" t="n">
        <v>4</v>
      </c>
      <c r="U923" t="inlineStr">
        <is>
          <t>2008-02-26</t>
        </is>
      </c>
      <c r="V923" t="inlineStr">
        <is>
          <t>2008-02-26</t>
        </is>
      </c>
      <c r="W923" t="inlineStr">
        <is>
          <t>1991-01-04</t>
        </is>
      </c>
      <c r="X923" t="inlineStr">
        <is>
          <t>1991-01-04</t>
        </is>
      </c>
      <c r="Y923" t="n">
        <v>343</v>
      </c>
      <c r="Z923" t="n">
        <v>276</v>
      </c>
      <c r="AA923" t="n">
        <v>282</v>
      </c>
      <c r="AB923" t="n">
        <v>3</v>
      </c>
      <c r="AC923" t="n">
        <v>3</v>
      </c>
      <c r="AD923" t="n">
        <v>19</v>
      </c>
      <c r="AE923" t="n">
        <v>19</v>
      </c>
      <c r="AF923" t="n">
        <v>7</v>
      </c>
      <c r="AG923" t="n">
        <v>7</v>
      </c>
      <c r="AH923" t="n">
        <v>3</v>
      </c>
      <c r="AI923" t="n">
        <v>3</v>
      </c>
      <c r="AJ923" t="n">
        <v>12</v>
      </c>
      <c r="AK923" t="n">
        <v>12</v>
      </c>
      <c r="AL923" t="n">
        <v>2</v>
      </c>
      <c r="AM923" t="n">
        <v>2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HYPERLINK("http://catalog.hathitrust.org/Record/005714829","HathiTrust Record")</f>
        <v/>
      </c>
      <c r="AS923">
        <f>HYPERLINK("https://creighton-primo.hosted.exlibrisgroup.com/primo-explore/search?tab=default_tab&amp;search_scope=EVERYTHING&amp;vid=01CRU&amp;lang=en_US&amp;offset=0&amp;query=any,contains,991001245129702656","Catalog Record")</f>
        <v/>
      </c>
      <c r="AT923">
        <f>HYPERLINK("http://www.worldcat.org/oclc/17649491","WorldCat Record")</f>
        <v/>
      </c>
      <c r="AU923" t="inlineStr">
        <is>
          <t>364402464:eng</t>
        </is>
      </c>
      <c r="AV923" t="inlineStr">
        <is>
          <t>17649491</t>
        </is>
      </c>
      <c r="AW923" t="inlineStr">
        <is>
          <t>991001245129702656</t>
        </is>
      </c>
      <c r="AX923" t="inlineStr">
        <is>
          <t>991001245129702656</t>
        </is>
      </c>
      <c r="AY923" t="inlineStr">
        <is>
          <t>2259181120002656</t>
        </is>
      </c>
      <c r="AZ923" t="inlineStr">
        <is>
          <t>BOOK</t>
        </is>
      </c>
      <c r="BB923" t="inlineStr">
        <is>
          <t>9780803927025</t>
        </is>
      </c>
      <c r="BC923" t="inlineStr">
        <is>
          <t>32285000407188</t>
        </is>
      </c>
      <c r="BD923" t="inlineStr">
        <is>
          <t>893407986</t>
        </is>
      </c>
    </row>
    <row r="924">
      <c r="A924" t="inlineStr">
        <is>
          <t>No</t>
        </is>
      </c>
      <c r="B924" t="inlineStr">
        <is>
          <t>HV700.5 .H65 1998</t>
        </is>
      </c>
      <c r="C924" t="inlineStr">
        <is>
          <t>0                      HV 0700500H  65          1998</t>
        </is>
      </c>
      <c r="D924" t="inlineStr">
        <is>
          <t>Welfare reform and states' efforts to prevent births outside of marriage / by Sonja Hoover.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Hoover, Sonja.</t>
        </is>
      </c>
      <c r="L924" t="inlineStr">
        <is>
          <t>Denver, Colo. : National Conference of State Legislatures, c1998.</t>
        </is>
      </c>
      <c r="M924" t="inlineStr">
        <is>
          <t>1998</t>
        </is>
      </c>
      <c r="O924" t="inlineStr">
        <is>
          <t>eng</t>
        </is>
      </c>
      <c r="P924" t="inlineStr">
        <is>
          <t>cou</t>
        </is>
      </c>
      <c r="R924" t="inlineStr">
        <is>
          <t xml:space="preserve">HV </t>
        </is>
      </c>
      <c r="S924" t="n">
        <v>2</v>
      </c>
      <c r="T924" t="n">
        <v>2</v>
      </c>
      <c r="U924" t="inlineStr">
        <is>
          <t>2006-07-25</t>
        </is>
      </c>
      <c r="V924" t="inlineStr">
        <is>
          <t>2006-07-25</t>
        </is>
      </c>
      <c r="W924" t="inlineStr">
        <is>
          <t>2000-10-23</t>
        </is>
      </c>
      <c r="X924" t="inlineStr">
        <is>
          <t>2000-10-23</t>
        </is>
      </c>
      <c r="Y924" t="n">
        <v>63</v>
      </c>
      <c r="Z924" t="n">
        <v>60</v>
      </c>
      <c r="AA924" t="n">
        <v>63</v>
      </c>
      <c r="AB924" t="n">
        <v>1</v>
      </c>
      <c r="AC924" t="n">
        <v>1</v>
      </c>
      <c r="AD924" t="n">
        <v>1</v>
      </c>
      <c r="AE924" t="n">
        <v>1</v>
      </c>
      <c r="AF924" t="n">
        <v>0</v>
      </c>
      <c r="AG924" t="n">
        <v>0</v>
      </c>
      <c r="AH924" t="n">
        <v>0</v>
      </c>
      <c r="AI924" t="n">
        <v>0</v>
      </c>
      <c r="AJ924" t="n">
        <v>1</v>
      </c>
      <c r="AK924" t="n">
        <v>1</v>
      </c>
      <c r="AL924" t="n">
        <v>0</v>
      </c>
      <c r="AM924" t="n">
        <v>0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HYPERLINK("https://creighton-primo.hosted.exlibrisgroup.com/primo-explore/search?tab=default_tab&amp;search_scope=EVERYTHING&amp;vid=01CRU&amp;lang=en_US&amp;offset=0&amp;query=any,contains,991003243639702656","Catalog Record")</f>
        <v/>
      </c>
      <c r="AT924">
        <f>HYPERLINK("http://www.worldcat.org/oclc/39337775","WorldCat Record")</f>
        <v/>
      </c>
      <c r="AU924" t="inlineStr">
        <is>
          <t>24113918:eng</t>
        </is>
      </c>
      <c r="AV924" t="inlineStr">
        <is>
          <t>39337775</t>
        </is>
      </c>
      <c r="AW924" t="inlineStr">
        <is>
          <t>991003243639702656</t>
        </is>
      </c>
      <c r="AX924" t="inlineStr">
        <is>
          <t>991003243639702656</t>
        </is>
      </c>
      <c r="AY924" t="inlineStr">
        <is>
          <t>2264931240002656</t>
        </is>
      </c>
      <c r="AZ924" t="inlineStr">
        <is>
          <t>BOOK</t>
        </is>
      </c>
      <c r="BB924" t="inlineStr">
        <is>
          <t>9781555168230</t>
        </is>
      </c>
      <c r="BC924" t="inlineStr">
        <is>
          <t>32285003769113</t>
        </is>
      </c>
      <c r="BD924" t="inlineStr">
        <is>
          <t>893598394</t>
        </is>
      </c>
    </row>
    <row r="925">
      <c r="A925" t="inlineStr">
        <is>
          <t>No</t>
        </is>
      </c>
      <c r="B925" t="inlineStr">
        <is>
          <t>HV700.5 .K73</t>
        </is>
      </c>
      <c r="C925" t="inlineStr">
        <is>
          <t>0                      HV 0700500K  73</t>
        </is>
      </c>
      <c r="D925" t="inlineStr">
        <is>
          <t>Mothers in poverty : a study of fatherless families.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Kriesberg, Louis.</t>
        </is>
      </c>
      <c r="L925" t="inlineStr">
        <is>
          <t>Chicago : Aldine Pub. Co., [1970]</t>
        </is>
      </c>
      <c r="M925" t="inlineStr">
        <is>
          <t>1970</t>
        </is>
      </c>
      <c r="O925" t="inlineStr">
        <is>
          <t>eng</t>
        </is>
      </c>
      <c r="P925" t="inlineStr">
        <is>
          <t>ilu</t>
        </is>
      </c>
      <c r="R925" t="inlineStr">
        <is>
          <t xml:space="preserve">HV </t>
        </is>
      </c>
      <c r="S925" t="n">
        <v>3</v>
      </c>
      <c r="T925" t="n">
        <v>3</v>
      </c>
      <c r="U925" t="inlineStr">
        <is>
          <t>1996-03-26</t>
        </is>
      </c>
      <c r="V925" t="inlineStr">
        <is>
          <t>1996-03-26</t>
        </is>
      </c>
      <c r="W925" t="inlineStr">
        <is>
          <t>1993-04-28</t>
        </is>
      </c>
      <c r="X925" t="inlineStr">
        <is>
          <t>1993-04-28</t>
        </is>
      </c>
      <c r="Y925" t="n">
        <v>777</v>
      </c>
      <c r="Z925" t="n">
        <v>667</v>
      </c>
      <c r="AA925" t="n">
        <v>764</v>
      </c>
      <c r="AB925" t="n">
        <v>5</v>
      </c>
      <c r="AC925" t="n">
        <v>5</v>
      </c>
      <c r="AD925" t="n">
        <v>30</v>
      </c>
      <c r="AE925" t="n">
        <v>32</v>
      </c>
      <c r="AF925" t="n">
        <v>12</v>
      </c>
      <c r="AG925" t="n">
        <v>12</v>
      </c>
      <c r="AH925" t="n">
        <v>7</v>
      </c>
      <c r="AI925" t="n">
        <v>8</v>
      </c>
      <c r="AJ925" t="n">
        <v>17</v>
      </c>
      <c r="AK925" t="n">
        <v>19</v>
      </c>
      <c r="AL925" t="n">
        <v>2</v>
      </c>
      <c r="AM925" t="n">
        <v>2</v>
      </c>
      <c r="AN925" t="n">
        <v>0</v>
      </c>
      <c r="AO925" t="n">
        <v>0</v>
      </c>
      <c r="AP925" t="inlineStr">
        <is>
          <t>No</t>
        </is>
      </c>
      <c r="AQ925" t="inlineStr">
        <is>
          <t>Yes</t>
        </is>
      </c>
      <c r="AR925">
        <f>HYPERLINK("http://catalog.hathitrust.org/Record/001132416","HathiTrust Record")</f>
        <v/>
      </c>
      <c r="AS925">
        <f>HYPERLINK("https://creighton-primo.hosted.exlibrisgroup.com/primo-explore/search?tab=default_tab&amp;search_scope=EVERYTHING&amp;vid=01CRU&amp;lang=en_US&amp;offset=0&amp;query=any,contains,991000376859702656","Catalog Record")</f>
        <v/>
      </c>
      <c r="AT925">
        <f>HYPERLINK("http://www.worldcat.org/oclc/72108","WorldCat Record")</f>
        <v/>
      </c>
      <c r="AU925" t="inlineStr">
        <is>
          <t>1242317:eng</t>
        </is>
      </c>
      <c r="AV925" t="inlineStr">
        <is>
          <t>72108</t>
        </is>
      </c>
      <c r="AW925" t="inlineStr">
        <is>
          <t>991000376859702656</t>
        </is>
      </c>
      <c r="AX925" t="inlineStr">
        <is>
          <t>991000376859702656</t>
        </is>
      </c>
      <c r="AY925" t="inlineStr">
        <is>
          <t>2271495640002656</t>
        </is>
      </c>
      <c r="AZ925" t="inlineStr">
        <is>
          <t>BOOK</t>
        </is>
      </c>
      <c r="BC925" t="inlineStr">
        <is>
          <t>32285001629285</t>
        </is>
      </c>
      <c r="BD925" t="inlineStr">
        <is>
          <t>893890613</t>
        </is>
      </c>
    </row>
    <row r="926">
      <c r="A926" t="inlineStr">
        <is>
          <t>No</t>
        </is>
      </c>
      <c r="B926" t="inlineStr">
        <is>
          <t>HV700.5 .M56 1998</t>
        </is>
      </c>
      <c r="C926" t="inlineStr">
        <is>
          <t>0                      HV 0700500M  56          1998</t>
        </is>
      </c>
      <c r="D926" t="inlineStr">
        <is>
          <t>Welfare's end / Gwendolyn Mink.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Mink, Gwendolyn, 1952-</t>
        </is>
      </c>
      <c r="L926" t="inlineStr">
        <is>
          <t>Ithaca, N.Y. : Cornell University Press, 1998.</t>
        </is>
      </c>
      <c r="M926" t="inlineStr">
        <is>
          <t>1998</t>
        </is>
      </c>
      <c r="O926" t="inlineStr">
        <is>
          <t>eng</t>
        </is>
      </c>
      <c r="P926" t="inlineStr">
        <is>
          <t>nyu</t>
        </is>
      </c>
      <c r="R926" t="inlineStr">
        <is>
          <t xml:space="preserve">HV </t>
        </is>
      </c>
      <c r="S926" t="n">
        <v>0</v>
      </c>
      <c r="T926" t="n">
        <v>0</v>
      </c>
      <c r="U926" t="inlineStr">
        <is>
          <t>2005-06-15</t>
        </is>
      </c>
      <c r="V926" t="inlineStr">
        <is>
          <t>2005-06-15</t>
        </is>
      </c>
      <c r="W926" t="inlineStr">
        <is>
          <t>1998-07-15</t>
        </is>
      </c>
      <c r="X926" t="inlineStr">
        <is>
          <t>1998-07-15</t>
        </is>
      </c>
      <c r="Y926" t="n">
        <v>925</v>
      </c>
      <c r="Z926" t="n">
        <v>851</v>
      </c>
      <c r="AA926" t="n">
        <v>1015</v>
      </c>
      <c r="AB926" t="n">
        <v>3</v>
      </c>
      <c r="AC926" t="n">
        <v>3</v>
      </c>
      <c r="AD926" t="n">
        <v>40</v>
      </c>
      <c r="AE926" t="n">
        <v>44</v>
      </c>
      <c r="AF926" t="n">
        <v>19</v>
      </c>
      <c r="AG926" t="n">
        <v>21</v>
      </c>
      <c r="AH926" t="n">
        <v>10</v>
      </c>
      <c r="AI926" t="n">
        <v>10</v>
      </c>
      <c r="AJ926" t="n">
        <v>19</v>
      </c>
      <c r="AK926" t="n">
        <v>21</v>
      </c>
      <c r="AL926" t="n">
        <v>2</v>
      </c>
      <c r="AM926" t="n">
        <v>2</v>
      </c>
      <c r="AN926" t="n">
        <v>1</v>
      </c>
      <c r="AO926" t="n">
        <v>1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HYPERLINK("http://catalog.hathitrust.org/Record/003961290","HathiTrust Record")</f>
        <v/>
      </c>
      <c r="AS926">
        <f>HYPERLINK("https://creighton-primo.hosted.exlibrisgroup.com/primo-explore/search?tab=default_tab&amp;search_scope=EVERYTHING&amp;vid=01CRU&amp;lang=en_US&amp;offset=0&amp;query=any,contains,991002866209702656","Catalog Record")</f>
        <v/>
      </c>
      <c r="AT926">
        <f>HYPERLINK("http://www.worldcat.org/oclc/37782953","WorldCat Record")</f>
        <v/>
      </c>
      <c r="AU926" t="inlineStr">
        <is>
          <t>609959:eng</t>
        </is>
      </c>
      <c r="AV926" t="inlineStr">
        <is>
          <t>37782953</t>
        </is>
      </c>
      <c r="AW926" t="inlineStr">
        <is>
          <t>991002866209702656</t>
        </is>
      </c>
      <c r="AX926" t="inlineStr">
        <is>
          <t>991002866209702656</t>
        </is>
      </c>
      <c r="AY926" t="inlineStr">
        <is>
          <t>2264488710002656</t>
        </is>
      </c>
      <c r="AZ926" t="inlineStr">
        <is>
          <t>BOOK</t>
        </is>
      </c>
      <c r="BB926" t="inlineStr">
        <is>
          <t>9780801433474</t>
        </is>
      </c>
      <c r="BC926" t="inlineStr">
        <is>
          <t>32285003432274</t>
        </is>
      </c>
      <c r="BD926" t="inlineStr">
        <is>
          <t>893262517</t>
        </is>
      </c>
    </row>
    <row r="927">
      <c r="A927" t="inlineStr">
        <is>
          <t>No</t>
        </is>
      </c>
      <c r="B927" t="inlineStr">
        <is>
          <t>HV700.5 .O76</t>
        </is>
      </c>
      <c r="C927" t="inlineStr">
        <is>
          <t>0                      HV 0700500O  76</t>
        </is>
      </c>
      <c r="D927" t="inlineStr">
        <is>
          <t>The pregnant teen-ager; a medical, educational, and social analysis, by Howard J. Osofsky.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Osofsky, Howard J., 1935-</t>
        </is>
      </c>
      <c r="L927" t="inlineStr">
        <is>
          <t>Springfield, Ill., C. C. Thomas [1968]</t>
        </is>
      </c>
      <c r="M927" t="inlineStr">
        <is>
          <t>1968</t>
        </is>
      </c>
      <c r="O927" t="inlineStr">
        <is>
          <t>eng</t>
        </is>
      </c>
      <c r="P927" t="inlineStr">
        <is>
          <t>ilu</t>
        </is>
      </c>
      <c r="R927" t="inlineStr">
        <is>
          <t xml:space="preserve">HV </t>
        </is>
      </c>
      <c r="S927" t="n">
        <v>9</v>
      </c>
      <c r="T927" t="n">
        <v>9</v>
      </c>
      <c r="U927" t="inlineStr">
        <is>
          <t>2006-04-06</t>
        </is>
      </c>
      <c r="V927" t="inlineStr">
        <is>
          <t>2006-04-06</t>
        </is>
      </c>
      <c r="W927" t="inlineStr">
        <is>
          <t>1996-07-11</t>
        </is>
      </c>
      <c r="X927" t="inlineStr">
        <is>
          <t>1996-07-11</t>
        </is>
      </c>
      <c r="Y927" t="n">
        <v>421</v>
      </c>
      <c r="Z927" t="n">
        <v>369</v>
      </c>
      <c r="AA927" t="n">
        <v>373</v>
      </c>
      <c r="AB927" t="n">
        <v>3</v>
      </c>
      <c r="AC927" t="n">
        <v>3</v>
      </c>
      <c r="AD927" t="n">
        <v>14</v>
      </c>
      <c r="AE927" t="n">
        <v>14</v>
      </c>
      <c r="AF927" t="n">
        <v>6</v>
      </c>
      <c r="AG927" t="n">
        <v>6</v>
      </c>
      <c r="AH927" t="n">
        <v>3</v>
      </c>
      <c r="AI927" t="n">
        <v>3</v>
      </c>
      <c r="AJ927" t="n">
        <v>5</v>
      </c>
      <c r="AK927" t="n">
        <v>5</v>
      </c>
      <c r="AL927" t="n">
        <v>2</v>
      </c>
      <c r="AM927" t="n">
        <v>2</v>
      </c>
      <c r="AN927" t="n">
        <v>0</v>
      </c>
      <c r="AO927" t="n">
        <v>0</v>
      </c>
      <c r="AP927" t="inlineStr">
        <is>
          <t>No</t>
        </is>
      </c>
      <c r="AQ927" t="inlineStr">
        <is>
          <t>No</t>
        </is>
      </c>
      <c r="AS927">
        <f>HYPERLINK("https://creighton-primo.hosted.exlibrisgroup.com/primo-explore/search?tab=default_tab&amp;search_scope=EVERYTHING&amp;vid=01CRU&amp;lang=en_US&amp;offset=0&amp;query=any,contains,991001085519702656","Catalog Record")</f>
        <v/>
      </c>
      <c r="AT927">
        <f>HYPERLINK("http://www.worldcat.org/oclc/180227","WorldCat Record")</f>
        <v/>
      </c>
      <c r="AU927" t="inlineStr">
        <is>
          <t>315943492:eng</t>
        </is>
      </c>
      <c r="AV927" t="inlineStr">
        <is>
          <t>180227</t>
        </is>
      </c>
      <c r="AW927" t="inlineStr">
        <is>
          <t>991001085519702656</t>
        </is>
      </c>
      <c r="AX927" t="inlineStr">
        <is>
          <t>991001085519702656</t>
        </is>
      </c>
      <c r="AY927" t="inlineStr">
        <is>
          <t>2271915520002656</t>
        </is>
      </c>
      <c r="AZ927" t="inlineStr">
        <is>
          <t>BOOK</t>
        </is>
      </c>
      <c r="BC927" t="inlineStr">
        <is>
          <t>32285002211935</t>
        </is>
      </c>
      <c r="BD927" t="inlineStr">
        <is>
          <t>893885028</t>
        </is>
      </c>
    </row>
    <row r="928">
      <c r="A928" t="inlineStr">
        <is>
          <t>No</t>
        </is>
      </c>
      <c r="B928" t="inlineStr">
        <is>
          <t>HV707 .I6132 1978a</t>
        </is>
      </c>
      <c r="C928" t="inlineStr">
        <is>
          <t>0                      HV 0707000I  6132        1978a</t>
        </is>
      </c>
      <c r="D928" t="inlineStr">
        <is>
          <t>The abused child in the family and in the community : selected papers from the Second International Congress on Child Abuse and Neglect, London, 1978 / C. Henry Kempe, Alfred White Franklin, Christine Cooper, editors.</t>
        </is>
      </c>
      <c r="E928" t="inlineStr">
        <is>
          <t>V.2</t>
        </is>
      </c>
      <c r="F928" t="inlineStr">
        <is>
          <t>Yes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International Congress on Child Abuse &amp; Neglect (2nd : 1978 : London, England)</t>
        </is>
      </c>
      <c r="L928" t="inlineStr">
        <is>
          <t>Oxford ; New York : Pergamon, 1980.</t>
        </is>
      </c>
      <c r="M928" t="inlineStr">
        <is>
          <t>1980</t>
        </is>
      </c>
      <c r="O928" t="inlineStr">
        <is>
          <t>eng</t>
        </is>
      </c>
      <c r="P928" t="inlineStr">
        <is>
          <t>enk</t>
        </is>
      </c>
      <c r="Q928" t="inlineStr">
        <is>
          <t>Child abuse &amp; neglect, 0145-2134</t>
        </is>
      </c>
      <c r="R928" t="inlineStr">
        <is>
          <t xml:space="preserve">HV </t>
        </is>
      </c>
      <c r="S928" t="n">
        <v>6</v>
      </c>
      <c r="T928" t="n">
        <v>17</v>
      </c>
      <c r="U928" t="inlineStr">
        <is>
          <t>2007-05-07</t>
        </is>
      </c>
      <c r="V928" t="inlineStr">
        <is>
          <t>2007-05-07</t>
        </is>
      </c>
      <c r="W928" t="inlineStr">
        <is>
          <t>1990-03-08</t>
        </is>
      </c>
      <c r="X928" t="inlineStr">
        <is>
          <t>1990-03-08</t>
        </is>
      </c>
      <c r="Y928" t="n">
        <v>215</v>
      </c>
      <c r="Z928" t="n">
        <v>150</v>
      </c>
      <c r="AA928" t="n">
        <v>160</v>
      </c>
      <c r="AB928" t="n">
        <v>1</v>
      </c>
      <c r="AC928" t="n">
        <v>1</v>
      </c>
      <c r="AD928" t="n">
        <v>11</v>
      </c>
      <c r="AE928" t="n">
        <v>12</v>
      </c>
      <c r="AF928" t="n">
        <v>2</v>
      </c>
      <c r="AG928" t="n">
        <v>2</v>
      </c>
      <c r="AH928" t="n">
        <v>1</v>
      </c>
      <c r="AI928" t="n">
        <v>1</v>
      </c>
      <c r="AJ928" t="n">
        <v>4</v>
      </c>
      <c r="AK928" t="n">
        <v>4</v>
      </c>
      <c r="AL928" t="n">
        <v>0</v>
      </c>
      <c r="AM928" t="n">
        <v>0</v>
      </c>
      <c r="AN928" t="n">
        <v>5</v>
      </c>
      <c r="AO928" t="n">
        <v>6</v>
      </c>
      <c r="AP928" t="inlineStr">
        <is>
          <t>No</t>
        </is>
      </c>
      <c r="AQ928" t="inlineStr">
        <is>
          <t>Yes</t>
        </is>
      </c>
      <c r="AR928">
        <f>HYPERLINK("http://catalog.hathitrust.org/Record/000223592","HathiTrust Record")</f>
        <v/>
      </c>
      <c r="AS928">
        <f>HYPERLINK("https://creighton-primo.hosted.exlibrisgroup.com/primo-explore/search?tab=default_tab&amp;search_scope=EVERYTHING&amp;vid=01CRU&amp;lang=en_US&amp;offset=0&amp;query=any,contains,991005066739702656","Catalog Record")</f>
        <v/>
      </c>
      <c r="AT928">
        <f>HYPERLINK("http://www.worldcat.org/oclc/6973742","WorldCat Record")</f>
        <v/>
      </c>
      <c r="AU928" t="inlineStr">
        <is>
          <t>1047196696:eng</t>
        </is>
      </c>
      <c r="AV928" t="inlineStr">
        <is>
          <t>6973742</t>
        </is>
      </c>
      <c r="AW928" t="inlineStr">
        <is>
          <t>991005066739702656</t>
        </is>
      </c>
      <c r="AX928" t="inlineStr">
        <is>
          <t>991005066739702656</t>
        </is>
      </c>
      <c r="AY928" t="inlineStr">
        <is>
          <t>2257003260002656</t>
        </is>
      </c>
      <c r="AZ928" t="inlineStr">
        <is>
          <t>BOOK</t>
        </is>
      </c>
      <c r="BB928" t="inlineStr">
        <is>
          <t>9780080234304</t>
        </is>
      </c>
      <c r="BC928" t="inlineStr">
        <is>
          <t>32285000078823</t>
        </is>
      </c>
      <c r="BD928" t="inlineStr">
        <is>
          <t>893782967</t>
        </is>
      </c>
    </row>
    <row r="929">
      <c r="A929" t="inlineStr">
        <is>
          <t>No</t>
        </is>
      </c>
      <c r="B929" t="inlineStr">
        <is>
          <t>HV707 .I6132 1978a</t>
        </is>
      </c>
      <c r="C929" t="inlineStr">
        <is>
          <t>0                      HV 0707000I  6132        1978a</t>
        </is>
      </c>
      <c r="D929" t="inlineStr">
        <is>
          <t>The abused child in the family and in the community : selected papers from the Second International Congress on Child Abuse and Neglect, London, 1978 / C. Henry Kempe, Alfred White Franklin, Christine Cooper, editors.</t>
        </is>
      </c>
      <c r="E929" t="inlineStr">
        <is>
          <t>V.1</t>
        </is>
      </c>
      <c r="F929" t="inlineStr">
        <is>
          <t>Yes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International Congress on Child Abuse &amp; Neglect (2nd : 1978 : London, England)</t>
        </is>
      </c>
      <c r="L929" t="inlineStr">
        <is>
          <t>Oxford ; New York : Pergamon, 1980.</t>
        </is>
      </c>
      <c r="M929" t="inlineStr">
        <is>
          <t>1980</t>
        </is>
      </c>
      <c r="O929" t="inlineStr">
        <is>
          <t>eng</t>
        </is>
      </c>
      <c r="P929" t="inlineStr">
        <is>
          <t>enk</t>
        </is>
      </c>
      <c r="Q929" t="inlineStr">
        <is>
          <t>Child abuse &amp; neglect, 0145-2134</t>
        </is>
      </c>
      <c r="R929" t="inlineStr">
        <is>
          <t xml:space="preserve">HV </t>
        </is>
      </c>
      <c r="S929" t="n">
        <v>11</v>
      </c>
      <c r="T929" t="n">
        <v>17</v>
      </c>
      <c r="U929" t="inlineStr">
        <is>
          <t>2000-11-28</t>
        </is>
      </c>
      <c r="V929" t="inlineStr">
        <is>
          <t>2007-05-07</t>
        </is>
      </c>
      <c r="W929" t="inlineStr">
        <is>
          <t>1990-03-08</t>
        </is>
      </c>
      <c r="X929" t="inlineStr">
        <is>
          <t>1990-03-08</t>
        </is>
      </c>
      <c r="Y929" t="n">
        <v>215</v>
      </c>
      <c r="Z929" t="n">
        <v>150</v>
      </c>
      <c r="AA929" t="n">
        <v>160</v>
      </c>
      <c r="AB929" t="n">
        <v>1</v>
      </c>
      <c r="AC929" t="n">
        <v>1</v>
      </c>
      <c r="AD929" t="n">
        <v>11</v>
      </c>
      <c r="AE929" t="n">
        <v>12</v>
      </c>
      <c r="AF929" t="n">
        <v>2</v>
      </c>
      <c r="AG929" t="n">
        <v>2</v>
      </c>
      <c r="AH929" t="n">
        <v>1</v>
      </c>
      <c r="AI929" t="n">
        <v>1</v>
      </c>
      <c r="AJ929" t="n">
        <v>4</v>
      </c>
      <c r="AK929" t="n">
        <v>4</v>
      </c>
      <c r="AL929" t="n">
        <v>0</v>
      </c>
      <c r="AM929" t="n">
        <v>0</v>
      </c>
      <c r="AN929" t="n">
        <v>5</v>
      </c>
      <c r="AO929" t="n">
        <v>6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HYPERLINK("http://catalog.hathitrust.org/Record/000223592","HathiTrust Record")</f>
        <v/>
      </c>
      <c r="AS929">
        <f>HYPERLINK("https://creighton-primo.hosted.exlibrisgroup.com/primo-explore/search?tab=default_tab&amp;search_scope=EVERYTHING&amp;vid=01CRU&amp;lang=en_US&amp;offset=0&amp;query=any,contains,991005066739702656","Catalog Record")</f>
        <v/>
      </c>
      <c r="AT929">
        <f>HYPERLINK("http://www.worldcat.org/oclc/6973742","WorldCat Record")</f>
        <v/>
      </c>
      <c r="AU929" t="inlineStr">
        <is>
          <t>1047196696:eng</t>
        </is>
      </c>
      <c r="AV929" t="inlineStr">
        <is>
          <t>6973742</t>
        </is>
      </c>
      <c r="AW929" t="inlineStr">
        <is>
          <t>991005066739702656</t>
        </is>
      </c>
      <c r="AX929" t="inlineStr">
        <is>
          <t>991005066739702656</t>
        </is>
      </c>
      <c r="AY929" t="inlineStr">
        <is>
          <t>2257003260002656</t>
        </is>
      </c>
      <c r="AZ929" t="inlineStr">
        <is>
          <t>BOOK</t>
        </is>
      </c>
      <c r="BB929" t="inlineStr">
        <is>
          <t>9780080234304</t>
        </is>
      </c>
      <c r="BC929" t="inlineStr">
        <is>
          <t>32285000078815</t>
        </is>
      </c>
      <c r="BD929" t="inlineStr">
        <is>
          <t>893782968</t>
        </is>
      </c>
    </row>
    <row r="930">
      <c r="A930" t="inlineStr">
        <is>
          <t>No</t>
        </is>
      </c>
      <c r="B930" t="inlineStr">
        <is>
          <t>HV7113 .C55</t>
        </is>
      </c>
      <c r="C930" t="inlineStr">
        <is>
          <t>0                      HV 7113000C  55</t>
        </is>
      </c>
      <c r="D930" t="inlineStr">
        <is>
          <t>Crime control in Japan / William Clifford.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Clifford, W. (William), 1918-</t>
        </is>
      </c>
      <c r="L930" t="inlineStr">
        <is>
          <t>Lexington, Mass. : Lexington Books, c1976.</t>
        </is>
      </c>
      <c r="M930" t="inlineStr">
        <is>
          <t>1976</t>
        </is>
      </c>
      <c r="O930" t="inlineStr">
        <is>
          <t>eng</t>
        </is>
      </c>
      <c r="P930" t="inlineStr">
        <is>
          <t>mau</t>
        </is>
      </c>
      <c r="R930" t="inlineStr">
        <is>
          <t xml:space="preserve">HV </t>
        </is>
      </c>
      <c r="S930" t="n">
        <v>2</v>
      </c>
      <c r="T930" t="n">
        <v>2</v>
      </c>
      <c r="U930" t="inlineStr">
        <is>
          <t>2005-09-13</t>
        </is>
      </c>
      <c r="V930" t="inlineStr">
        <is>
          <t>2005-09-13</t>
        </is>
      </c>
      <c r="W930" t="inlineStr">
        <is>
          <t>1997-08-25</t>
        </is>
      </c>
      <c r="X930" t="inlineStr">
        <is>
          <t>1997-08-25</t>
        </is>
      </c>
      <c r="Y930" t="n">
        <v>340</v>
      </c>
      <c r="Z930" t="n">
        <v>265</v>
      </c>
      <c r="AA930" t="n">
        <v>266</v>
      </c>
      <c r="AB930" t="n">
        <v>3</v>
      </c>
      <c r="AC930" t="n">
        <v>3</v>
      </c>
      <c r="AD930" t="n">
        <v>15</v>
      </c>
      <c r="AE930" t="n">
        <v>15</v>
      </c>
      <c r="AF930" t="n">
        <v>3</v>
      </c>
      <c r="AG930" t="n">
        <v>3</v>
      </c>
      <c r="AH930" t="n">
        <v>2</v>
      </c>
      <c r="AI930" t="n">
        <v>2</v>
      </c>
      <c r="AJ930" t="n">
        <v>6</v>
      </c>
      <c r="AK930" t="n">
        <v>6</v>
      </c>
      <c r="AL930" t="n">
        <v>2</v>
      </c>
      <c r="AM930" t="n">
        <v>2</v>
      </c>
      <c r="AN930" t="n">
        <v>4</v>
      </c>
      <c r="AO930" t="n">
        <v>4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HYPERLINK("http://catalog.hathitrust.org/Record/000697697","HathiTrust Record")</f>
        <v/>
      </c>
      <c r="AS930">
        <f>HYPERLINK("https://creighton-primo.hosted.exlibrisgroup.com/primo-explore/search?tab=default_tab&amp;search_scope=EVERYTHING&amp;vid=01CRU&amp;lang=en_US&amp;offset=0&amp;query=any,contains,991003917389702656","Catalog Record")</f>
        <v/>
      </c>
      <c r="AT930">
        <f>HYPERLINK("http://www.worldcat.org/oclc/1863374","WorldCat Record")</f>
        <v/>
      </c>
      <c r="AU930" t="inlineStr">
        <is>
          <t>146903398:eng</t>
        </is>
      </c>
      <c r="AV930" t="inlineStr">
        <is>
          <t>1863374</t>
        </is>
      </c>
      <c r="AW930" t="inlineStr">
        <is>
          <t>991003917389702656</t>
        </is>
      </c>
      <c r="AX930" t="inlineStr">
        <is>
          <t>991003917389702656</t>
        </is>
      </c>
      <c r="AY930" t="inlineStr">
        <is>
          <t>2263217540002656</t>
        </is>
      </c>
      <c r="AZ930" t="inlineStr">
        <is>
          <t>BOOK</t>
        </is>
      </c>
      <c r="BB930" t="inlineStr">
        <is>
          <t>9780669001846</t>
        </is>
      </c>
      <c r="BC930" t="inlineStr">
        <is>
          <t>32285003158713</t>
        </is>
      </c>
      <c r="BD930" t="inlineStr">
        <is>
          <t>893705777</t>
        </is>
      </c>
    </row>
    <row r="931">
      <c r="A931" t="inlineStr">
        <is>
          <t>No</t>
        </is>
      </c>
      <c r="B931" t="inlineStr">
        <is>
          <t>HV7115.K38 T46 1992</t>
        </is>
      </c>
      <c r="C931" t="inlineStr">
        <is>
          <t>0                      HV 7115000K  38                 T  46          1992</t>
        </is>
      </c>
      <c r="D931" t="inlineStr">
        <is>
          <t>Preventing crime in America and Japan : a comparative study / Robert Y. Thornton, with Katsuya Endo.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Thornton, Robert Y.</t>
        </is>
      </c>
      <c r="L931" t="inlineStr">
        <is>
          <t>Armonk, N.Y. : M.E. Sharpe, c1992.</t>
        </is>
      </c>
      <c r="M931" t="inlineStr">
        <is>
          <t>1992</t>
        </is>
      </c>
      <c r="O931" t="inlineStr">
        <is>
          <t>eng</t>
        </is>
      </c>
      <c r="P931" t="inlineStr">
        <is>
          <t>nyu</t>
        </is>
      </c>
      <c r="R931" t="inlineStr">
        <is>
          <t xml:space="preserve">HV </t>
        </is>
      </c>
      <c r="S931" t="n">
        <v>7</v>
      </c>
      <c r="T931" t="n">
        <v>7</v>
      </c>
      <c r="U931" t="inlineStr">
        <is>
          <t>1997-02-10</t>
        </is>
      </c>
      <c r="V931" t="inlineStr">
        <is>
          <t>1997-02-10</t>
        </is>
      </c>
      <c r="W931" t="inlineStr">
        <is>
          <t>1993-06-30</t>
        </is>
      </c>
      <c r="X931" t="inlineStr">
        <is>
          <t>1993-06-30</t>
        </is>
      </c>
      <c r="Y931" t="n">
        <v>369</v>
      </c>
      <c r="Z931" t="n">
        <v>292</v>
      </c>
      <c r="AA931" t="n">
        <v>304</v>
      </c>
      <c r="AB931" t="n">
        <v>3</v>
      </c>
      <c r="AC931" t="n">
        <v>3</v>
      </c>
      <c r="AD931" t="n">
        <v>18</v>
      </c>
      <c r="AE931" t="n">
        <v>18</v>
      </c>
      <c r="AF931" t="n">
        <v>6</v>
      </c>
      <c r="AG931" t="n">
        <v>6</v>
      </c>
      <c r="AH931" t="n">
        <v>4</v>
      </c>
      <c r="AI931" t="n">
        <v>4</v>
      </c>
      <c r="AJ931" t="n">
        <v>7</v>
      </c>
      <c r="AK931" t="n">
        <v>7</v>
      </c>
      <c r="AL931" t="n">
        <v>2</v>
      </c>
      <c r="AM931" t="n">
        <v>2</v>
      </c>
      <c r="AN931" t="n">
        <v>3</v>
      </c>
      <c r="AO931" t="n">
        <v>3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HYPERLINK("https://creighton-primo.hosted.exlibrisgroup.com/primo-explore/search?tab=default_tab&amp;search_scope=EVERYTHING&amp;vid=01CRU&amp;lang=en_US&amp;offset=0&amp;query=any,contains,991001872149702656","Catalog Record")</f>
        <v/>
      </c>
      <c r="AT931">
        <f>HYPERLINK("http://www.worldcat.org/oclc/23649545","WorldCat Record")</f>
        <v/>
      </c>
      <c r="AU931" t="inlineStr">
        <is>
          <t>222892868:eng</t>
        </is>
      </c>
      <c r="AV931" t="inlineStr">
        <is>
          <t>23649545</t>
        </is>
      </c>
      <c r="AW931" t="inlineStr">
        <is>
          <t>991001872149702656</t>
        </is>
      </c>
      <c r="AX931" t="inlineStr">
        <is>
          <t>991001872149702656</t>
        </is>
      </c>
      <c r="AY931" t="inlineStr">
        <is>
          <t>2261762590002656</t>
        </is>
      </c>
      <c r="AZ931" t="inlineStr">
        <is>
          <t>BOOK</t>
        </is>
      </c>
      <c r="BB931" t="inlineStr">
        <is>
          <t>9780873327886</t>
        </is>
      </c>
      <c r="BC931" t="inlineStr">
        <is>
          <t>32285001700532</t>
        </is>
      </c>
      <c r="BD931" t="inlineStr">
        <is>
          <t>893596797</t>
        </is>
      </c>
    </row>
    <row r="932">
      <c r="A932" t="inlineStr">
        <is>
          <t>No</t>
        </is>
      </c>
      <c r="B932" t="inlineStr">
        <is>
          <t>HV713 .A28</t>
        </is>
      </c>
      <c r="C932" t="inlineStr">
        <is>
          <t>0                      HV 0713000A  28</t>
        </is>
      </c>
      <c r="D932" t="inlineStr">
        <is>
          <t>The Abused child : a multidisciplinary approach to developmental issues and treatment / edited by Harold P. Martin ; foreword by C. Henry Kempe.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L932" t="inlineStr">
        <is>
          <t>Cambridge, Mass. : Ballinger Pub. Co., c1976.</t>
        </is>
      </c>
      <c r="M932" t="inlineStr">
        <is>
          <t>1976</t>
        </is>
      </c>
      <c r="O932" t="inlineStr">
        <is>
          <t>eng</t>
        </is>
      </c>
      <c r="P932" t="inlineStr">
        <is>
          <t>mau</t>
        </is>
      </c>
      <c r="R932" t="inlineStr">
        <is>
          <t xml:space="preserve">HV </t>
        </is>
      </c>
      <c r="S932" t="n">
        <v>6</v>
      </c>
      <c r="T932" t="n">
        <v>6</v>
      </c>
      <c r="U932" t="inlineStr">
        <is>
          <t>1998-03-01</t>
        </is>
      </c>
      <c r="V932" t="inlineStr">
        <is>
          <t>1998-03-01</t>
        </is>
      </c>
      <c r="W932" t="inlineStr">
        <is>
          <t>1992-07-10</t>
        </is>
      </c>
      <c r="X932" t="inlineStr">
        <is>
          <t>1992-07-10</t>
        </is>
      </c>
      <c r="Y932" t="n">
        <v>701</v>
      </c>
      <c r="Z932" t="n">
        <v>575</v>
      </c>
      <c r="AA932" t="n">
        <v>577</v>
      </c>
      <c r="AB932" t="n">
        <v>4</v>
      </c>
      <c r="AC932" t="n">
        <v>4</v>
      </c>
      <c r="AD932" t="n">
        <v>26</v>
      </c>
      <c r="AE932" t="n">
        <v>26</v>
      </c>
      <c r="AF932" t="n">
        <v>8</v>
      </c>
      <c r="AG932" t="n">
        <v>8</v>
      </c>
      <c r="AH932" t="n">
        <v>1</v>
      </c>
      <c r="AI932" t="n">
        <v>1</v>
      </c>
      <c r="AJ932" t="n">
        <v>12</v>
      </c>
      <c r="AK932" t="n">
        <v>12</v>
      </c>
      <c r="AL932" t="n">
        <v>2</v>
      </c>
      <c r="AM932" t="n">
        <v>2</v>
      </c>
      <c r="AN932" t="n">
        <v>8</v>
      </c>
      <c r="AO932" t="n">
        <v>8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HYPERLINK("http://catalog.hathitrust.org/Record/000682900","HathiTrust Record")</f>
        <v/>
      </c>
      <c r="AS932">
        <f>HYPERLINK("https://creighton-primo.hosted.exlibrisgroup.com/primo-explore/search?tab=default_tab&amp;search_scope=EVERYTHING&amp;vid=01CRU&amp;lang=en_US&amp;offset=0&amp;query=any,contains,991004030439702656","Catalog Record")</f>
        <v/>
      </c>
      <c r="AT932">
        <f>HYPERLINK("http://www.worldcat.org/oclc/2151123","WorldCat Record")</f>
        <v/>
      </c>
      <c r="AU932" t="inlineStr">
        <is>
          <t>945893344:eng</t>
        </is>
      </c>
      <c r="AV932" t="inlineStr">
        <is>
          <t>2151123</t>
        </is>
      </c>
      <c r="AW932" t="inlineStr">
        <is>
          <t>991004030439702656</t>
        </is>
      </c>
      <c r="AX932" t="inlineStr">
        <is>
          <t>991004030439702656</t>
        </is>
      </c>
      <c r="AY932" t="inlineStr">
        <is>
          <t>2261436640002656</t>
        </is>
      </c>
      <c r="AZ932" t="inlineStr">
        <is>
          <t>BOOK</t>
        </is>
      </c>
      <c r="BB932" t="inlineStr">
        <is>
          <t>9780884102182</t>
        </is>
      </c>
      <c r="BC932" t="inlineStr">
        <is>
          <t>32285001188357</t>
        </is>
      </c>
      <c r="BD932" t="inlineStr">
        <is>
          <t>893599334</t>
        </is>
      </c>
    </row>
    <row r="933">
      <c r="A933" t="inlineStr">
        <is>
          <t>No</t>
        </is>
      </c>
      <c r="B933" t="inlineStr">
        <is>
          <t>HV713 .A3 yr...</t>
        </is>
      </c>
      <c r="C933" t="inlineStr">
        <is>
          <t>0                      HV 0713000A  3                                                       yr...</t>
        </is>
      </c>
      <c r="D933" t="inlineStr">
        <is>
          <t>Advances in law and child development : a research annual / editor Robert L. Sprague.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Greenwich, Conn. : JAI Press, 1982-</t>
        </is>
      </c>
      <c r="M933" t="inlineStr">
        <is>
          <t>1982</t>
        </is>
      </c>
      <c r="O933" t="inlineStr">
        <is>
          <t>eng</t>
        </is>
      </c>
      <c r="P933" t="inlineStr">
        <is>
          <t>ctu</t>
        </is>
      </c>
      <c r="Q933" t="inlineStr">
        <is>
          <t>Research annuals in the behavioral sciences</t>
        </is>
      </c>
      <c r="R933" t="inlineStr">
        <is>
          <t xml:space="preserve">HV </t>
        </is>
      </c>
      <c r="S933" t="n">
        <v>2</v>
      </c>
      <c r="T933" t="n">
        <v>2</v>
      </c>
      <c r="U933" t="inlineStr">
        <is>
          <t>1992-12-12</t>
        </is>
      </c>
      <c r="V933" t="inlineStr">
        <is>
          <t>1992-12-12</t>
        </is>
      </c>
      <c r="W933" t="inlineStr">
        <is>
          <t>1991-12-09</t>
        </is>
      </c>
      <c r="X933" t="inlineStr">
        <is>
          <t>1991-12-09</t>
        </is>
      </c>
      <c r="Y933" t="n">
        <v>25</v>
      </c>
      <c r="Z933" t="n">
        <v>15</v>
      </c>
      <c r="AA933" t="n">
        <v>15</v>
      </c>
      <c r="AB933" t="n">
        <v>2</v>
      </c>
      <c r="AC933" t="n">
        <v>2</v>
      </c>
      <c r="AD933" t="n">
        <v>2</v>
      </c>
      <c r="AE933" t="n">
        <v>2</v>
      </c>
      <c r="AF933" t="n">
        <v>0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0</v>
      </c>
      <c r="AM933" t="n">
        <v>0</v>
      </c>
      <c r="AN933" t="n">
        <v>2</v>
      </c>
      <c r="AO933" t="n">
        <v>2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HYPERLINK("https://creighton-primo.hosted.exlibrisgroup.com/primo-explore/search?tab=default_tab&amp;search_scope=EVERYTHING&amp;vid=01CRU&amp;lang=en_US&amp;offset=0&amp;query=any,contains,991000021459702656","Catalog Record")</f>
        <v/>
      </c>
      <c r="AT933">
        <f>HYPERLINK("http://www.worldcat.org/oclc/8572107","WorldCat Record")</f>
        <v/>
      </c>
      <c r="AU933" t="inlineStr">
        <is>
          <t>2227922277:eng</t>
        </is>
      </c>
      <c r="AV933" t="inlineStr">
        <is>
          <t>8572107</t>
        </is>
      </c>
      <c r="AW933" t="inlineStr">
        <is>
          <t>991000021459702656</t>
        </is>
      </c>
      <c r="AX933" t="inlineStr">
        <is>
          <t>991000021459702656</t>
        </is>
      </c>
      <c r="AY933" t="inlineStr">
        <is>
          <t>2256124840002656</t>
        </is>
      </c>
      <c r="AZ933" t="inlineStr">
        <is>
          <t>BOOK</t>
        </is>
      </c>
      <c r="BB933" t="inlineStr">
        <is>
          <t>9780892320943</t>
        </is>
      </c>
      <c r="BC933" t="inlineStr">
        <is>
          <t>32285000890078</t>
        </is>
      </c>
      <c r="BD933" t="inlineStr">
        <is>
          <t>893777602</t>
        </is>
      </c>
    </row>
    <row r="934">
      <c r="A934" t="inlineStr">
        <is>
          <t>No</t>
        </is>
      </c>
      <c r="B934" t="inlineStr">
        <is>
          <t>HV713 .B33</t>
        </is>
      </c>
      <c r="C934" t="inlineStr">
        <is>
          <t>0                      HV 0713000B  33</t>
        </is>
      </c>
      <c r="D934" t="inlineStr">
        <is>
          <t>Slaughter of the innocents.</t>
        </is>
      </c>
      <c r="F934" t="inlineStr">
        <is>
          <t>No</t>
        </is>
      </c>
      <c r="G934" t="inlineStr">
        <is>
          <t>1</t>
        </is>
      </c>
      <c r="H934" t="inlineStr">
        <is>
          <t>Yes</t>
        </is>
      </c>
      <c r="I934" t="inlineStr">
        <is>
          <t>No</t>
        </is>
      </c>
      <c r="J934" t="inlineStr">
        <is>
          <t>0</t>
        </is>
      </c>
      <c r="K934" t="inlineStr">
        <is>
          <t>Bakan, David.</t>
        </is>
      </c>
      <c r="L934" t="inlineStr">
        <is>
          <t>San Francisco : Jossey-Bass, 1971.</t>
        </is>
      </c>
      <c r="M934" t="inlineStr">
        <is>
          <t>1971</t>
        </is>
      </c>
      <c r="N934" t="inlineStr">
        <is>
          <t>[1st ed.]</t>
        </is>
      </c>
      <c r="O934" t="inlineStr">
        <is>
          <t>eng</t>
        </is>
      </c>
      <c r="P934" t="inlineStr">
        <is>
          <t>cau</t>
        </is>
      </c>
      <c r="Q934" t="inlineStr">
        <is>
          <t>The Jossey-Bass behavioral science series</t>
        </is>
      </c>
      <c r="R934" t="inlineStr">
        <is>
          <t xml:space="preserve">HV </t>
        </is>
      </c>
      <c r="S934" t="n">
        <v>0</v>
      </c>
      <c r="T934" t="n">
        <v>1</v>
      </c>
      <c r="V934" t="inlineStr">
        <is>
          <t>1996-07-20</t>
        </is>
      </c>
      <c r="W934" t="inlineStr">
        <is>
          <t>1992-07-28</t>
        </is>
      </c>
      <c r="X934" t="inlineStr">
        <is>
          <t>1992-07-28</t>
        </is>
      </c>
      <c r="Y934" t="n">
        <v>691</v>
      </c>
      <c r="Z934" t="n">
        <v>631</v>
      </c>
      <c r="AA934" t="n">
        <v>910</v>
      </c>
      <c r="AB934" t="n">
        <v>9</v>
      </c>
      <c r="AC934" t="n">
        <v>10</v>
      </c>
      <c r="AD934" t="n">
        <v>30</v>
      </c>
      <c r="AE934" t="n">
        <v>40</v>
      </c>
      <c r="AF934" t="n">
        <v>11</v>
      </c>
      <c r="AG934" t="n">
        <v>15</v>
      </c>
      <c r="AH934" t="n">
        <v>5</v>
      </c>
      <c r="AI934" t="n">
        <v>7</v>
      </c>
      <c r="AJ934" t="n">
        <v>13</v>
      </c>
      <c r="AK934" t="n">
        <v>17</v>
      </c>
      <c r="AL934" t="n">
        <v>5</v>
      </c>
      <c r="AM934" t="n">
        <v>6</v>
      </c>
      <c r="AN934" t="n">
        <v>1</v>
      </c>
      <c r="AO934" t="n">
        <v>3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HYPERLINK("http://catalog.hathitrust.org/Record/001132433","HathiTrust Record")</f>
        <v/>
      </c>
      <c r="AS934">
        <f>HYPERLINK("https://creighton-primo.hosted.exlibrisgroup.com/primo-explore/search?tab=default_tab&amp;search_scope=EVERYTHING&amp;vid=01CRU&amp;lang=en_US&amp;offset=0&amp;query=any,contains,991001761429702656","Catalog Record")</f>
        <v/>
      </c>
      <c r="AT934">
        <f>HYPERLINK("http://www.worldcat.org/oclc/153708","WorldCat Record")</f>
        <v/>
      </c>
      <c r="AU934" t="inlineStr">
        <is>
          <t>532466:eng</t>
        </is>
      </c>
      <c r="AV934" t="inlineStr">
        <is>
          <t>153708</t>
        </is>
      </c>
      <c r="AW934" t="inlineStr">
        <is>
          <t>991001761429702656</t>
        </is>
      </c>
      <c r="AX934" t="inlineStr">
        <is>
          <t>991001761429702656</t>
        </is>
      </c>
      <c r="AY934" t="inlineStr">
        <is>
          <t>2269601430002656</t>
        </is>
      </c>
      <c r="AZ934" t="inlineStr">
        <is>
          <t>BOOK</t>
        </is>
      </c>
      <c r="BB934" t="inlineStr">
        <is>
          <t>9780875890937</t>
        </is>
      </c>
      <c r="BC934" t="inlineStr">
        <is>
          <t>32285001207124</t>
        </is>
      </c>
      <c r="BD934" t="inlineStr">
        <is>
          <t>893690887</t>
        </is>
      </c>
    </row>
    <row r="935">
      <c r="A935" t="inlineStr">
        <is>
          <t>No</t>
        </is>
      </c>
      <c r="B935" t="inlineStr">
        <is>
          <t>HV713 .C3815</t>
        </is>
      </c>
      <c r="C935" t="inlineStr">
        <is>
          <t>0                      HV 0713000C  3815</t>
        </is>
      </c>
      <c r="D935" t="inlineStr">
        <is>
          <t>Child abuse: commission and omission / edited by Joanne Valiant Cook and Roy Tyler Bowles.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L935" t="inlineStr">
        <is>
          <t>Toronto : Butterworths, c1980.</t>
        </is>
      </c>
      <c r="M935" t="inlineStr">
        <is>
          <t>1980</t>
        </is>
      </c>
      <c r="O935" t="inlineStr">
        <is>
          <t>eng</t>
        </is>
      </c>
      <c r="P935" t="inlineStr">
        <is>
          <t>xxc</t>
        </is>
      </c>
      <c r="R935" t="inlineStr">
        <is>
          <t xml:space="preserve">HV </t>
        </is>
      </c>
      <c r="S935" t="n">
        <v>19</v>
      </c>
      <c r="T935" t="n">
        <v>19</v>
      </c>
      <c r="U935" t="inlineStr">
        <is>
          <t>1997-12-01</t>
        </is>
      </c>
      <c r="V935" t="inlineStr">
        <is>
          <t>1997-12-01</t>
        </is>
      </c>
      <c r="W935" t="inlineStr">
        <is>
          <t>1990-03-28</t>
        </is>
      </c>
      <c r="X935" t="inlineStr">
        <is>
          <t>1990-03-28</t>
        </is>
      </c>
      <c r="Y935" t="n">
        <v>527</v>
      </c>
      <c r="Z935" t="n">
        <v>345</v>
      </c>
      <c r="AA935" t="n">
        <v>347</v>
      </c>
      <c r="AB935" t="n">
        <v>3</v>
      </c>
      <c r="AC935" t="n">
        <v>3</v>
      </c>
      <c r="AD935" t="n">
        <v>19</v>
      </c>
      <c r="AE935" t="n">
        <v>19</v>
      </c>
      <c r="AF935" t="n">
        <v>6</v>
      </c>
      <c r="AG935" t="n">
        <v>6</v>
      </c>
      <c r="AH935" t="n">
        <v>6</v>
      </c>
      <c r="AI935" t="n">
        <v>6</v>
      </c>
      <c r="AJ935" t="n">
        <v>5</v>
      </c>
      <c r="AK935" t="n">
        <v>5</v>
      </c>
      <c r="AL935" t="n">
        <v>1</v>
      </c>
      <c r="AM935" t="n">
        <v>1</v>
      </c>
      <c r="AN935" t="n">
        <v>5</v>
      </c>
      <c r="AO935" t="n">
        <v>5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HYPERLINK("http://catalog.hathitrust.org/Record/000044074","HathiTrust Record")</f>
        <v/>
      </c>
      <c r="AS935">
        <f>HYPERLINK("https://creighton-primo.hosted.exlibrisgroup.com/primo-explore/search?tab=default_tab&amp;search_scope=EVERYTHING&amp;vid=01CRU&amp;lang=en_US&amp;offset=0&amp;query=any,contains,991004939169702656","Catalog Record")</f>
        <v/>
      </c>
      <c r="AT935">
        <f>HYPERLINK("http://www.worldcat.org/oclc/7206828","WorldCat Record")</f>
        <v/>
      </c>
      <c r="AU935" t="inlineStr">
        <is>
          <t>894530666:eng</t>
        </is>
      </c>
      <c r="AV935" t="inlineStr">
        <is>
          <t>7206828</t>
        </is>
      </c>
      <c r="AW935" t="inlineStr">
        <is>
          <t>991004939169702656</t>
        </is>
      </c>
      <c r="AX935" t="inlineStr">
        <is>
          <t>991004939169702656</t>
        </is>
      </c>
      <c r="AY935" t="inlineStr">
        <is>
          <t>2259459870002656</t>
        </is>
      </c>
      <c r="AZ935" t="inlineStr">
        <is>
          <t>BOOK</t>
        </is>
      </c>
      <c r="BB935" t="inlineStr">
        <is>
          <t>9780409824100</t>
        </is>
      </c>
      <c r="BC935" t="inlineStr">
        <is>
          <t>32285000105873</t>
        </is>
      </c>
      <c r="BD935" t="inlineStr">
        <is>
          <t>893713243</t>
        </is>
      </c>
    </row>
    <row r="936">
      <c r="A936" t="inlineStr">
        <is>
          <t>No</t>
        </is>
      </c>
      <c r="B936" t="inlineStr">
        <is>
          <t>HV713 .C3819</t>
        </is>
      </c>
      <c r="C936" t="inlineStr">
        <is>
          <t>0                      HV 0713000C  3819</t>
        </is>
      </c>
      <c r="D936" t="inlineStr">
        <is>
          <t>Child abuse and neglect : cross-cultural perspectives / edited by Jill E. Korbin ; with forewords by Robert B. Edgerton and C. Henry Kempe.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L936" t="inlineStr">
        <is>
          <t>Berkeley : University of California Press, c1981.</t>
        </is>
      </c>
      <c r="M936" t="inlineStr">
        <is>
          <t>1981</t>
        </is>
      </c>
      <c r="O936" t="inlineStr">
        <is>
          <t>eng</t>
        </is>
      </c>
      <c r="P936" t="inlineStr">
        <is>
          <t>cau</t>
        </is>
      </c>
      <c r="R936" t="inlineStr">
        <is>
          <t xml:space="preserve">HV </t>
        </is>
      </c>
      <c r="S936" t="n">
        <v>12</v>
      </c>
      <c r="T936" t="n">
        <v>12</v>
      </c>
      <c r="U936" t="inlineStr">
        <is>
          <t>1998-11-18</t>
        </is>
      </c>
      <c r="V936" t="inlineStr">
        <is>
          <t>1998-11-18</t>
        </is>
      </c>
      <c r="W936" t="inlineStr">
        <is>
          <t>1990-03-08</t>
        </is>
      </c>
      <c r="X936" t="inlineStr">
        <is>
          <t>1990-03-08</t>
        </is>
      </c>
      <c r="Y936" t="n">
        <v>959</v>
      </c>
      <c r="Z936" t="n">
        <v>816</v>
      </c>
      <c r="AA936" t="n">
        <v>864</v>
      </c>
      <c r="AB936" t="n">
        <v>5</v>
      </c>
      <c r="AC936" t="n">
        <v>6</v>
      </c>
      <c r="AD936" t="n">
        <v>32</v>
      </c>
      <c r="AE936" t="n">
        <v>33</v>
      </c>
      <c r="AF936" t="n">
        <v>13</v>
      </c>
      <c r="AG936" t="n">
        <v>13</v>
      </c>
      <c r="AH936" t="n">
        <v>9</v>
      </c>
      <c r="AI936" t="n">
        <v>9</v>
      </c>
      <c r="AJ936" t="n">
        <v>12</v>
      </c>
      <c r="AK936" t="n">
        <v>12</v>
      </c>
      <c r="AL936" t="n">
        <v>4</v>
      </c>
      <c r="AM936" t="n">
        <v>5</v>
      </c>
      <c r="AN936" t="n">
        <v>1</v>
      </c>
      <c r="AO936" t="n">
        <v>1</v>
      </c>
      <c r="AP936" t="inlineStr">
        <is>
          <t>No</t>
        </is>
      </c>
      <c r="AQ936" t="inlineStr">
        <is>
          <t>No</t>
        </is>
      </c>
      <c r="AS936">
        <f>HYPERLINK("https://creighton-primo.hosted.exlibrisgroup.com/primo-explore/search?tab=default_tab&amp;search_scope=EVERYTHING&amp;vid=01CRU&amp;lang=en_US&amp;offset=0&amp;query=any,contains,991005086959702656","Catalog Record")</f>
        <v/>
      </c>
      <c r="AT936">
        <f>HYPERLINK("http://www.worldcat.org/oclc/7197161","WorldCat Record")</f>
        <v/>
      </c>
      <c r="AU936" t="inlineStr">
        <is>
          <t>54429048:eng</t>
        </is>
      </c>
      <c r="AV936" t="inlineStr">
        <is>
          <t>7197161</t>
        </is>
      </c>
      <c r="AW936" t="inlineStr">
        <is>
          <t>991005086959702656</t>
        </is>
      </c>
      <c r="AX936" t="inlineStr">
        <is>
          <t>991005086959702656</t>
        </is>
      </c>
      <c r="AY936" t="inlineStr">
        <is>
          <t>2255566980002656</t>
        </is>
      </c>
      <c r="AZ936" t="inlineStr">
        <is>
          <t>BOOK</t>
        </is>
      </c>
      <c r="BB936" t="inlineStr">
        <is>
          <t>9780520044326</t>
        </is>
      </c>
      <c r="BC936" t="inlineStr">
        <is>
          <t>32285000078831</t>
        </is>
      </c>
      <c r="BD936" t="inlineStr">
        <is>
          <t>893801701</t>
        </is>
      </c>
    </row>
    <row r="937">
      <c r="A937" t="inlineStr">
        <is>
          <t>No</t>
        </is>
      </c>
      <c r="B937" t="inlineStr">
        <is>
          <t>HV713 .C382</t>
        </is>
      </c>
      <c r="C937" t="inlineStr">
        <is>
          <t>0                      HV 0713000C  382</t>
        </is>
      </c>
      <c r="D937" t="inlineStr">
        <is>
          <t>Child abuse and neglect : the family and the community / edited by Ray E. Helfer and C. Henry Kempe ; pref. by Walter F. Mondale.</t>
        </is>
      </c>
      <c r="F937" t="inlineStr">
        <is>
          <t>No</t>
        </is>
      </c>
      <c r="G937" t="inlineStr">
        <is>
          <t>1</t>
        </is>
      </c>
      <c r="H937" t="inlineStr">
        <is>
          <t>Yes</t>
        </is>
      </c>
      <c r="I937" t="inlineStr">
        <is>
          <t>No</t>
        </is>
      </c>
      <c r="J937" t="inlineStr">
        <is>
          <t>0</t>
        </is>
      </c>
      <c r="L937" t="inlineStr">
        <is>
          <t>Cambridge, Mass. : Ballinger Pub. Co., c1976.</t>
        </is>
      </c>
      <c r="M937" t="inlineStr">
        <is>
          <t>1976</t>
        </is>
      </c>
      <c r="O937" t="inlineStr">
        <is>
          <t>eng</t>
        </is>
      </c>
      <c r="P937" t="inlineStr">
        <is>
          <t>mau</t>
        </is>
      </c>
      <c r="R937" t="inlineStr">
        <is>
          <t xml:space="preserve">HV </t>
        </is>
      </c>
      <c r="S937" t="n">
        <v>13</v>
      </c>
      <c r="T937" t="n">
        <v>18</v>
      </c>
      <c r="U937" t="inlineStr">
        <is>
          <t>1996-10-23</t>
        </is>
      </c>
      <c r="V937" t="inlineStr">
        <is>
          <t>1996-10-23</t>
        </is>
      </c>
      <c r="W937" t="inlineStr">
        <is>
          <t>1990-04-03</t>
        </is>
      </c>
      <c r="X937" t="inlineStr">
        <is>
          <t>1990-04-03</t>
        </is>
      </c>
      <c r="Y937" t="n">
        <v>859</v>
      </c>
      <c r="Z937" t="n">
        <v>717</v>
      </c>
      <c r="AA937" t="n">
        <v>725</v>
      </c>
      <c r="AB937" t="n">
        <v>7</v>
      </c>
      <c r="AC937" t="n">
        <v>7</v>
      </c>
      <c r="AD937" t="n">
        <v>38</v>
      </c>
      <c r="AE937" t="n">
        <v>38</v>
      </c>
      <c r="AF937" t="n">
        <v>14</v>
      </c>
      <c r="AG937" t="n">
        <v>14</v>
      </c>
      <c r="AH937" t="n">
        <v>6</v>
      </c>
      <c r="AI937" t="n">
        <v>6</v>
      </c>
      <c r="AJ937" t="n">
        <v>13</v>
      </c>
      <c r="AK937" t="n">
        <v>13</v>
      </c>
      <c r="AL937" t="n">
        <v>4</v>
      </c>
      <c r="AM937" t="n">
        <v>4</v>
      </c>
      <c r="AN937" t="n">
        <v>10</v>
      </c>
      <c r="AO937" t="n">
        <v>10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HYPERLINK("http://catalog.hathitrust.org/Record/000713826","HathiTrust Record")</f>
        <v/>
      </c>
      <c r="AS937">
        <f>HYPERLINK("https://creighton-primo.hosted.exlibrisgroup.com/primo-explore/search?tab=default_tab&amp;search_scope=EVERYTHING&amp;vid=01CRU&amp;lang=en_US&amp;offset=0&amp;query=any,contains,991001758999702656","Catalog Record")</f>
        <v/>
      </c>
      <c r="AT937">
        <f>HYPERLINK("http://www.worldcat.org/oclc/2119566","WorldCat Record")</f>
        <v/>
      </c>
      <c r="AU937" t="inlineStr">
        <is>
          <t>181259923:eng</t>
        </is>
      </c>
      <c r="AV937" t="inlineStr">
        <is>
          <t>2119566</t>
        </is>
      </c>
      <c r="AW937" t="inlineStr">
        <is>
          <t>991001758999702656</t>
        </is>
      </c>
      <c r="AX937" t="inlineStr">
        <is>
          <t>991001758999702656</t>
        </is>
      </c>
      <c r="AY937" t="inlineStr">
        <is>
          <t>2268036720002656</t>
        </is>
      </c>
      <c r="AZ937" t="inlineStr">
        <is>
          <t>BOOK</t>
        </is>
      </c>
      <c r="BB937" t="inlineStr">
        <is>
          <t>9780884102175</t>
        </is>
      </c>
      <c r="BC937" t="inlineStr">
        <is>
          <t>32285000106194</t>
        </is>
      </c>
      <c r="BD937" t="inlineStr">
        <is>
          <t>893609111</t>
        </is>
      </c>
    </row>
    <row r="938">
      <c r="A938" t="inlineStr">
        <is>
          <t>No</t>
        </is>
      </c>
      <c r="B938" t="inlineStr">
        <is>
          <t>HV713 .C3827</t>
        </is>
      </c>
      <c r="C938" t="inlineStr">
        <is>
          <t>0                      HV 0713000C  3827</t>
        </is>
      </c>
      <c r="D938" t="inlineStr">
        <is>
          <t>The Child protection team handbook : a multidisciplinary approach to managing child abuse and neglect / edited by Barton D. Schmitt.</t>
        </is>
      </c>
      <c r="F938" t="inlineStr">
        <is>
          <t>No</t>
        </is>
      </c>
      <c r="G938" t="inlineStr">
        <is>
          <t>1</t>
        </is>
      </c>
      <c r="H938" t="inlineStr">
        <is>
          <t>Yes</t>
        </is>
      </c>
      <c r="I938" t="inlineStr">
        <is>
          <t>No</t>
        </is>
      </c>
      <c r="J938" t="inlineStr">
        <is>
          <t>0</t>
        </is>
      </c>
      <c r="L938" t="inlineStr">
        <is>
          <t>New York : Garland STPM Press, c1978.</t>
        </is>
      </c>
      <c r="M938" t="inlineStr">
        <is>
          <t>1978</t>
        </is>
      </c>
      <c r="O938" t="inlineStr">
        <is>
          <t>eng</t>
        </is>
      </c>
      <c r="P938" t="inlineStr">
        <is>
          <t>nyu</t>
        </is>
      </c>
      <c r="R938" t="inlineStr">
        <is>
          <t xml:space="preserve">HV </t>
        </is>
      </c>
      <c r="S938" t="n">
        <v>13</v>
      </c>
      <c r="T938" t="n">
        <v>16</v>
      </c>
      <c r="U938" t="inlineStr">
        <is>
          <t>2000-04-16</t>
        </is>
      </c>
      <c r="V938" t="inlineStr">
        <is>
          <t>2000-04-16</t>
        </is>
      </c>
      <c r="W938" t="inlineStr">
        <is>
          <t>1991-12-09</t>
        </is>
      </c>
      <c r="X938" t="inlineStr">
        <is>
          <t>1991-12-09</t>
        </is>
      </c>
      <c r="Y938" t="n">
        <v>512</v>
      </c>
      <c r="Z938" t="n">
        <v>428</v>
      </c>
      <c r="AA938" t="n">
        <v>442</v>
      </c>
      <c r="AB938" t="n">
        <v>7</v>
      </c>
      <c r="AC938" t="n">
        <v>7</v>
      </c>
      <c r="AD938" t="n">
        <v>20</v>
      </c>
      <c r="AE938" t="n">
        <v>20</v>
      </c>
      <c r="AF938" t="n">
        <v>4</v>
      </c>
      <c r="AG938" t="n">
        <v>4</v>
      </c>
      <c r="AH938" t="n">
        <v>6</v>
      </c>
      <c r="AI938" t="n">
        <v>6</v>
      </c>
      <c r="AJ938" t="n">
        <v>5</v>
      </c>
      <c r="AK938" t="n">
        <v>5</v>
      </c>
      <c r="AL938" t="n">
        <v>4</v>
      </c>
      <c r="AM938" t="n">
        <v>4</v>
      </c>
      <c r="AN938" t="n">
        <v>4</v>
      </c>
      <c r="AO938" t="n">
        <v>4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HYPERLINK("http://catalog.hathitrust.org/Record/000253383","HathiTrust Record")</f>
        <v/>
      </c>
      <c r="AS938">
        <f>HYPERLINK("https://creighton-primo.hosted.exlibrisgroup.com/primo-explore/search?tab=default_tab&amp;search_scope=EVERYTHING&amp;vid=01CRU&amp;lang=en_US&amp;offset=0&amp;query=any,contains,991001758959702656","Catalog Record")</f>
        <v/>
      </c>
      <c r="AT938">
        <f>HYPERLINK("http://www.worldcat.org/oclc/3071393","WorldCat Record")</f>
        <v/>
      </c>
      <c r="AU938" t="inlineStr">
        <is>
          <t>894521340:eng</t>
        </is>
      </c>
      <c r="AV938" t="inlineStr">
        <is>
          <t>3071393</t>
        </is>
      </c>
      <c r="AW938" t="inlineStr">
        <is>
          <t>991001758959702656</t>
        </is>
      </c>
      <c r="AX938" t="inlineStr">
        <is>
          <t>991001758959702656</t>
        </is>
      </c>
      <c r="AY938" t="inlineStr">
        <is>
          <t>2267825290002656</t>
        </is>
      </c>
      <c r="AZ938" t="inlineStr">
        <is>
          <t>BOOK</t>
        </is>
      </c>
      <c r="BB938" t="inlineStr">
        <is>
          <t>9780824070007</t>
        </is>
      </c>
      <c r="BC938" t="inlineStr">
        <is>
          <t>32285000848308</t>
        </is>
      </c>
      <c r="BD938" t="inlineStr">
        <is>
          <t>893516467</t>
        </is>
      </c>
    </row>
    <row r="939">
      <c r="A939" t="inlineStr">
        <is>
          <t>No</t>
        </is>
      </c>
      <c r="B939" t="inlineStr">
        <is>
          <t>HV713 .C74</t>
        </is>
      </c>
      <c r="C939" t="inlineStr">
        <is>
          <t>0                      HV 0713000C  74</t>
        </is>
      </c>
      <c r="D939" t="inlineStr">
        <is>
          <t>Critical perspectives on child abuse / edited by Richard Bourne, Eli H. Newberger.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L939" t="inlineStr">
        <is>
          <t>Lexington, Mass. : Lexington Books, 1979.</t>
        </is>
      </c>
      <c r="M939" t="inlineStr">
        <is>
          <t>1979</t>
        </is>
      </c>
      <c r="O939" t="inlineStr">
        <is>
          <t>eng</t>
        </is>
      </c>
      <c r="P939" t="inlineStr">
        <is>
          <t>mau</t>
        </is>
      </c>
      <c r="R939" t="inlineStr">
        <is>
          <t xml:space="preserve">HV </t>
        </is>
      </c>
      <c r="S939" t="n">
        <v>11</v>
      </c>
      <c r="T939" t="n">
        <v>11</v>
      </c>
      <c r="U939" t="inlineStr">
        <is>
          <t>2000-11-28</t>
        </is>
      </c>
      <c r="V939" t="inlineStr">
        <is>
          <t>2000-11-28</t>
        </is>
      </c>
      <c r="W939" t="inlineStr">
        <is>
          <t>1990-04-10</t>
        </is>
      </c>
      <c r="X939" t="inlineStr">
        <is>
          <t>1990-04-10</t>
        </is>
      </c>
      <c r="Y939" t="n">
        <v>569</v>
      </c>
      <c r="Z939" t="n">
        <v>476</v>
      </c>
      <c r="AA939" t="n">
        <v>485</v>
      </c>
      <c r="AB939" t="n">
        <v>4</v>
      </c>
      <c r="AC939" t="n">
        <v>4</v>
      </c>
      <c r="AD939" t="n">
        <v>29</v>
      </c>
      <c r="AE939" t="n">
        <v>29</v>
      </c>
      <c r="AF939" t="n">
        <v>13</v>
      </c>
      <c r="AG939" t="n">
        <v>13</v>
      </c>
      <c r="AH939" t="n">
        <v>5</v>
      </c>
      <c r="AI939" t="n">
        <v>5</v>
      </c>
      <c r="AJ939" t="n">
        <v>9</v>
      </c>
      <c r="AK939" t="n">
        <v>9</v>
      </c>
      <c r="AL939" t="n">
        <v>2</v>
      </c>
      <c r="AM939" t="n">
        <v>2</v>
      </c>
      <c r="AN939" t="n">
        <v>8</v>
      </c>
      <c r="AO939" t="n">
        <v>8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HYPERLINK("http://catalog.hathitrust.org/Record/000177967","HathiTrust Record")</f>
        <v/>
      </c>
      <c r="AS939">
        <f>HYPERLINK("https://creighton-primo.hosted.exlibrisgroup.com/primo-explore/search?tab=default_tab&amp;search_scope=EVERYTHING&amp;vid=01CRU&amp;lang=en_US&amp;offset=0&amp;query=any,contains,991005248499702656","Catalog Record")</f>
        <v/>
      </c>
      <c r="AT939">
        <f>HYPERLINK("http://www.worldcat.org/oclc/4037386","WorldCat Record")</f>
        <v/>
      </c>
      <c r="AU939" t="inlineStr">
        <is>
          <t>359005795:eng</t>
        </is>
      </c>
      <c r="AV939" t="inlineStr">
        <is>
          <t>4037386</t>
        </is>
      </c>
      <c r="AW939" t="inlineStr">
        <is>
          <t>991005248499702656</t>
        </is>
      </c>
      <c r="AX939" t="inlineStr">
        <is>
          <t>991005248499702656</t>
        </is>
      </c>
      <c r="AY939" t="inlineStr">
        <is>
          <t>2269076390002656</t>
        </is>
      </c>
      <c r="AZ939" t="inlineStr">
        <is>
          <t>BOOK</t>
        </is>
      </c>
      <c r="BB939" t="inlineStr">
        <is>
          <t>9780669021097</t>
        </is>
      </c>
      <c r="BC939" t="inlineStr">
        <is>
          <t>32285000120336</t>
        </is>
      </c>
      <c r="BD939" t="inlineStr">
        <is>
          <t>893507842</t>
        </is>
      </c>
    </row>
    <row r="940">
      <c r="A940" t="inlineStr">
        <is>
          <t>No</t>
        </is>
      </c>
      <c r="B940" t="inlineStr">
        <is>
          <t>HV713 .E47 1997</t>
        </is>
      </c>
      <c r="C940" t="inlineStr">
        <is>
          <t>0                      HV 0713000E  47          1997</t>
        </is>
      </c>
      <c r="D940" t="inlineStr">
        <is>
          <t>The anthropology of child and youth care work / Rivka A. Eisikovits.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Eisikovits, Rivka Anne.</t>
        </is>
      </c>
      <c r="L940" t="inlineStr">
        <is>
          <t>New York : Haworth Press, c1997.</t>
        </is>
      </c>
      <c r="M940" t="inlineStr">
        <is>
          <t>1997</t>
        </is>
      </c>
      <c r="O940" t="inlineStr">
        <is>
          <t>eng</t>
        </is>
      </c>
      <c r="P940" t="inlineStr">
        <is>
          <t>nyu</t>
        </is>
      </c>
      <c r="Q940" t="inlineStr">
        <is>
          <t>Child &amp; youth services series</t>
        </is>
      </c>
      <c r="R940" t="inlineStr">
        <is>
          <t xml:space="preserve">HV </t>
        </is>
      </c>
      <c r="S940" t="n">
        <v>4</v>
      </c>
      <c r="T940" t="n">
        <v>4</v>
      </c>
      <c r="U940" t="inlineStr">
        <is>
          <t>2004-04-03</t>
        </is>
      </c>
      <c r="V940" t="inlineStr">
        <is>
          <t>2004-04-03</t>
        </is>
      </c>
      <c r="W940" t="inlineStr">
        <is>
          <t>1997-04-22</t>
        </is>
      </c>
      <c r="X940" t="inlineStr">
        <is>
          <t>1997-04-22</t>
        </is>
      </c>
      <c r="Y940" t="n">
        <v>82</v>
      </c>
      <c r="Z940" t="n">
        <v>56</v>
      </c>
      <c r="AA940" t="n">
        <v>84</v>
      </c>
      <c r="AB940" t="n">
        <v>1</v>
      </c>
      <c r="AC940" t="n">
        <v>1</v>
      </c>
      <c r="AD940" t="n">
        <v>1</v>
      </c>
      <c r="AE940" t="n">
        <v>1</v>
      </c>
      <c r="AF940" t="n">
        <v>0</v>
      </c>
      <c r="AG940" t="n">
        <v>0</v>
      </c>
      <c r="AH940" t="n">
        <v>0</v>
      </c>
      <c r="AI940" t="n">
        <v>0</v>
      </c>
      <c r="AJ940" t="n">
        <v>1</v>
      </c>
      <c r="AK940" t="n">
        <v>1</v>
      </c>
      <c r="AL940" t="n">
        <v>0</v>
      </c>
      <c r="AM940" t="n">
        <v>0</v>
      </c>
      <c r="AN940" t="n">
        <v>0</v>
      </c>
      <c r="AO940" t="n">
        <v>0</v>
      </c>
      <c r="AP940" t="inlineStr">
        <is>
          <t>No</t>
        </is>
      </c>
      <c r="AQ940" t="inlineStr">
        <is>
          <t>No</t>
        </is>
      </c>
      <c r="AS940">
        <f>HYPERLINK("https://creighton-primo.hosted.exlibrisgroup.com/primo-explore/search?tab=default_tab&amp;search_scope=EVERYTHING&amp;vid=01CRU&amp;lang=en_US&amp;offset=0&amp;query=any,contains,991002701999702656","Catalog Record")</f>
        <v/>
      </c>
      <c r="AT940">
        <f>HYPERLINK("http://www.worldcat.org/oclc/35280533","WorldCat Record")</f>
        <v/>
      </c>
      <c r="AU940" t="inlineStr">
        <is>
          <t>40414722:eng</t>
        </is>
      </c>
      <c r="AV940" t="inlineStr">
        <is>
          <t>35280533</t>
        </is>
      </c>
      <c r="AW940" t="inlineStr">
        <is>
          <t>991002701999702656</t>
        </is>
      </c>
      <c r="AX940" t="inlineStr">
        <is>
          <t>991002701999702656</t>
        </is>
      </c>
      <c r="AY940" t="inlineStr">
        <is>
          <t>2254831300002656</t>
        </is>
      </c>
      <c r="AZ940" t="inlineStr">
        <is>
          <t>BOOK</t>
        </is>
      </c>
      <c r="BB940" t="inlineStr">
        <is>
          <t>9781560248484</t>
        </is>
      </c>
      <c r="BC940" t="inlineStr">
        <is>
          <t>32285002499498</t>
        </is>
      </c>
      <c r="BD940" t="inlineStr">
        <is>
          <t>893873884</t>
        </is>
      </c>
    </row>
    <row r="941">
      <c r="A941" t="inlineStr">
        <is>
          <t>No</t>
        </is>
      </c>
      <c r="B941" t="inlineStr">
        <is>
          <t>HV713 .E898 1996</t>
        </is>
      </c>
      <c r="C941" t="inlineStr">
        <is>
          <t>0                      HV 0713000E  898         1996</t>
        </is>
      </c>
      <c r="D941" t="inlineStr">
        <is>
          <t>Expanding partnerships for vulnerable children, youth, and families / edited by Katharine Hooper-Briar and Hal A. Lawson.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L941" t="inlineStr">
        <is>
          <t>Alexandria, Va. : Council on Social Work Education, 1996.</t>
        </is>
      </c>
      <c r="M941" t="inlineStr">
        <is>
          <t>1996</t>
        </is>
      </c>
      <c r="O941" t="inlineStr">
        <is>
          <t>eng</t>
        </is>
      </c>
      <c r="P941" t="inlineStr">
        <is>
          <t>vau</t>
        </is>
      </c>
      <c r="R941" t="inlineStr">
        <is>
          <t xml:space="preserve">HV </t>
        </is>
      </c>
      <c r="S941" t="n">
        <v>4</v>
      </c>
      <c r="T941" t="n">
        <v>4</v>
      </c>
      <c r="U941" t="inlineStr">
        <is>
          <t>2000-05-28</t>
        </is>
      </c>
      <c r="V941" t="inlineStr">
        <is>
          <t>2000-05-28</t>
        </is>
      </c>
      <c r="W941" t="inlineStr">
        <is>
          <t>1996-12-05</t>
        </is>
      </c>
      <c r="X941" t="inlineStr">
        <is>
          <t>1996-12-05</t>
        </is>
      </c>
      <c r="Y941" t="n">
        <v>96</v>
      </c>
      <c r="Z941" t="n">
        <v>88</v>
      </c>
      <c r="AA941" t="n">
        <v>91</v>
      </c>
      <c r="AB941" t="n">
        <v>1</v>
      </c>
      <c r="AC941" t="n">
        <v>1</v>
      </c>
      <c r="AD941" t="n">
        <v>5</v>
      </c>
      <c r="AE941" t="n">
        <v>5</v>
      </c>
      <c r="AF941" t="n">
        <v>1</v>
      </c>
      <c r="AG941" t="n">
        <v>1</v>
      </c>
      <c r="AH941" t="n">
        <v>2</v>
      </c>
      <c r="AI941" t="n">
        <v>2</v>
      </c>
      <c r="AJ941" t="n">
        <v>3</v>
      </c>
      <c r="AK941" t="n">
        <v>3</v>
      </c>
      <c r="AL941" t="n">
        <v>0</v>
      </c>
      <c r="AM941" t="n">
        <v>0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HYPERLINK("http://catalog.hathitrust.org/Record/003951264","HathiTrust Record")</f>
        <v/>
      </c>
      <c r="AS941">
        <f>HYPERLINK("https://creighton-primo.hosted.exlibrisgroup.com/primo-explore/search?tab=default_tab&amp;search_scope=EVERYTHING&amp;vid=01CRU&amp;lang=en_US&amp;offset=0&amp;query=any,contains,991005423739702656","Catalog Record")</f>
        <v/>
      </c>
      <c r="AT941">
        <f>HYPERLINK("http://www.worldcat.org/oclc/34618215","WorldCat Record")</f>
        <v/>
      </c>
      <c r="AU941" t="inlineStr">
        <is>
          <t>474888614:eng</t>
        </is>
      </c>
      <c r="AV941" t="inlineStr">
        <is>
          <t>34618215</t>
        </is>
      </c>
      <c r="AW941" t="inlineStr">
        <is>
          <t>991005423739702656</t>
        </is>
      </c>
      <c r="AX941" t="inlineStr">
        <is>
          <t>991005423739702656</t>
        </is>
      </c>
      <c r="AY941" t="inlineStr">
        <is>
          <t>2271985100002656</t>
        </is>
      </c>
      <c r="AZ941" t="inlineStr">
        <is>
          <t>BOOK</t>
        </is>
      </c>
      <c r="BB941" t="inlineStr">
        <is>
          <t>9780872930490</t>
        </is>
      </c>
      <c r="BC941" t="inlineStr">
        <is>
          <t>32285002388550</t>
        </is>
      </c>
      <c r="BD941" t="inlineStr">
        <is>
          <t>893601199</t>
        </is>
      </c>
    </row>
    <row r="942">
      <c r="A942" t="inlineStr">
        <is>
          <t>No</t>
        </is>
      </c>
      <c r="B942" t="inlineStr">
        <is>
          <t>HV713 .E9</t>
        </is>
      </c>
      <c r="C942" t="inlineStr">
        <is>
          <t>0                      HV 0713000E  9</t>
        </is>
      </c>
      <c r="D942" t="inlineStr">
        <is>
          <t>Exploring the relationship between child abuse and delinquency / edited by Robert J. Hunner and Yvonne Elder Walker.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L942" t="inlineStr">
        <is>
          <t>Montclair, N.J. : Allanheld, Osmun, 1981.</t>
        </is>
      </c>
      <c r="M942" t="inlineStr">
        <is>
          <t>1981</t>
        </is>
      </c>
      <c r="O942" t="inlineStr">
        <is>
          <t>eng</t>
        </is>
      </c>
      <c r="P942" t="inlineStr">
        <is>
          <t>nju</t>
        </is>
      </c>
      <c r="R942" t="inlineStr">
        <is>
          <t xml:space="preserve">HV </t>
        </is>
      </c>
      <c r="S942" t="n">
        <v>4</v>
      </c>
      <c r="T942" t="n">
        <v>4</v>
      </c>
      <c r="U942" t="inlineStr">
        <is>
          <t>2009-12-15</t>
        </is>
      </c>
      <c r="V942" t="inlineStr">
        <is>
          <t>2009-12-15</t>
        </is>
      </c>
      <c r="W942" t="inlineStr">
        <is>
          <t>1990-04-10</t>
        </is>
      </c>
      <c r="X942" t="inlineStr">
        <is>
          <t>1990-04-10</t>
        </is>
      </c>
      <c r="Y942" t="n">
        <v>430</v>
      </c>
      <c r="Z942" t="n">
        <v>375</v>
      </c>
      <c r="AA942" t="n">
        <v>380</v>
      </c>
      <c r="AB942" t="n">
        <v>4</v>
      </c>
      <c r="AC942" t="n">
        <v>4</v>
      </c>
      <c r="AD942" t="n">
        <v>21</v>
      </c>
      <c r="AE942" t="n">
        <v>21</v>
      </c>
      <c r="AF942" t="n">
        <v>6</v>
      </c>
      <c r="AG942" t="n">
        <v>6</v>
      </c>
      <c r="AH942" t="n">
        <v>2</v>
      </c>
      <c r="AI942" t="n">
        <v>2</v>
      </c>
      <c r="AJ942" t="n">
        <v>12</v>
      </c>
      <c r="AK942" t="n">
        <v>12</v>
      </c>
      <c r="AL942" t="n">
        <v>2</v>
      </c>
      <c r="AM942" t="n">
        <v>2</v>
      </c>
      <c r="AN942" t="n">
        <v>4</v>
      </c>
      <c r="AO942" t="n">
        <v>4</v>
      </c>
      <c r="AP942" t="inlineStr">
        <is>
          <t>No</t>
        </is>
      </c>
      <c r="AQ942" t="inlineStr">
        <is>
          <t>No</t>
        </is>
      </c>
      <c r="AS942">
        <f>HYPERLINK("https://creighton-primo.hosted.exlibrisgroup.com/primo-explore/search?tab=default_tab&amp;search_scope=EVERYTHING&amp;vid=01CRU&amp;lang=en_US&amp;offset=0&amp;query=any,contains,991004894309702656","Catalog Record")</f>
        <v/>
      </c>
      <c r="AT942">
        <f>HYPERLINK("http://www.worldcat.org/oclc/5892192","WorldCat Record")</f>
        <v/>
      </c>
      <c r="AU942" t="inlineStr">
        <is>
          <t>1392112647:eng</t>
        </is>
      </c>
      <c r="AV942" t="inlineStr">
        <is>
          <t>5892192</t>
        </is>
      </c>
      <c r="AW942" t="inlineStr">
        <is>
          <t>991004894309702656</t>
        </is>
      </c>
      <c r="AX942" t="inlineStr">
        <is>
          <t>991004894309702656</t>
        </is>
      </c>
      <c r="AY942" t="inlineStr">
        <is>
          <t>2262962030002656</t>
        </is>
      </c>
      <c r="AZ942" t="inlineStr">
        <is>
          <t>BOOK</t>
        </is>
      </c>
      <c r="BB942" t="inlineStr">
        <is>
          <t>9780916672317</t>
        </is>
      </c>
      <c r="BC942" t="inlineStr">
        <is>
          <t>32285000120344</t>
        </is>
      </c>
      <c r="BD942" t="inlineStr">
        <is>
          <t>893501062</t>
        </is>
      </c>
    </row>
    <row r="943">
      <c r="A943" t="inlineStr">
        <is>
          <t>No</t>
        </is>
      </c>
      <c r="B943" t="inlineStr">
        <is>
          <t>HV713 .G54</t>
        </is>
      </c>
      <c r="C943" t="inlineStr">
        <is>
          <t>0                      HV 0713000G  54</t>
        </is>
      </c>
      <c r="D943" t="inlineStr">
        <is>
          <t>Beyond the best interests of the child / [by] Joseph Goldstein, Anna Freud [and] Albert J. Solnit.</t>
        </is>
      </c>
      <c r="F943" t="inlineStr">
        <is>
          <t>No</t>
        </is>
      </c>
      <c r="G943" t="inlineStr">
        <is>
          <t>1</t>
        </is>
      </c>
      <c r="H943" t="inlineStr">
        <is>
          <t>Yes</t>
        </is>
      </c>
      <c r="I943" t="inlineStr">
        <is>
          <t>Yes</t>
        </is>
      </c>
      <c r="J943" t="inlineStr">
        <is>
          <t>0</t>
        </is>
      </c>
      <c r="K943" t="inlineStr">
        <is>
          <t>Goldstein, Joseph, 1923-2000.</t>
        </is>
      </c>
      <c r="L943" t="inlineStr">
        <is>
          <t>New York : Free Press, [1973]</t>
        </is>
      </c>
      <c r="M943" t="inlineStr">
        <is>
          <t>1973</t>
        </is>
      </c>
      <c r="O943" t="inlineStr">
        <is>
          <t>eng</t>
        </is>
      </c>
      <c r="P943" t="inlineStr">
        <is>
          <t>nyu</t>
        </is>
      </c>
      <c r="R943" t="inlineStr">
        <is>
          <t xml:space="preserve">HV </t>
        </is>
      </c>
      <c r="S943" t="n">
        <v>7</v>
      </c>
      <c r="T943" t="n">
        <v>15</v>
      </c>
      <c r="U943" t="inlineStr">
        <is>
          <t>1996-12-27</t>
        </is>
      </c>
      <c r="V943" t="inlineStr">
        <is>
          <t>1996-12-27</t>
        </is>
      </c>
      <c r="W943" t="inlineStr">
        <is>
          <t>1990-05-09</t>
        </is>
      </c>
      <c r="X943" t="inlineStr">
        <is>
          <t>1992-08-13</t>
        </is>
      </c>
      <c r="Y943" t="n">
        <v>1156</v>
      </c>
      <c r="Z943" t="n">
        <v>992</v>
      </c>
      <c r="AA943" t="n">
        <v>1428</v>
      </c>
      <c r="AB943" t="n">
        <v>9</v>
      </c>
      <c r="AC943" t="n">
        <v>14</v>
      </c>
      <c r="AD943" t="n">
        <v>55</v>
      </c>
      <c r="AE943" t="n">
        <v>73</v>
      </c>
      <c r="AF943" t="n">
        <v>17</v>
      </c>
      <c r="AG943" t="n">
        <v>21</v>
      </c>
      <c r="AH943" t="n">
        <v>7</v>
      </c>
      <c r="AI943" t="n">
        <v>10</v>
      </c>
      <c r="AJ943" t="n">
        <v>15</v>
      </c>
      <c r="AK943" t="n">
        <v>21</v>
      </c>
      <c r="AL943" t="n">
        <v>5</v>
      </c>
      <c r="AM943" t="n">
        <v>9</v>
      </c>
      <c r="AN943" t="n">
        <v>20</v>
      </c>
      <c r="AO943" t="n">
        <v>23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HYPERLINK("http://catalog.hathitrust.org/Record/001132438","HathiTrust Record")</f>
        <v/>
      </c>
      <c r="AS943">
        <f>HYPERLINK("https://creighton-primo.hosted.exlibrisgroup.com/primo-explore/search?tab=default_tab&amp;search_scope=EVERYTHING&amp;vid=01CRU&amp;lang=en_US&amp;offset=0&amp;query=any,contains,991001669979702656","Catalog Record")</f>
        <v/>
      </c>
      <c r="AT943">
        <f>HYPERLINK("http://www.worldcat.org/oclc/698682","WorldCat Record")</f>
        <v/>
      </c>
      <c r="AU943" t="inlineStr">
        <is>
          <t>907895698:eng</t>
        </is>
      </c>
      <c r="AV943" t="inlineStr">
        <is>
          <t>698682</t>
        </is>
      </c>
      <c r="AW943" t="inlineStr">
        <is>
          <t>991001669979702656</t>
        </is>
      </c>
      <c r="AX943" t="inlineStr">
        <is>
          <t>991001669979702656</t>
        </is>
      </c>
      <c r="AY943" t="inlineStr">
        <is>
          <t>2265156550002656</t>
        </is>
      </c>
      <c r="AZ943" t="inlineStr">
        <is>
          <t>BOOK</t>
        </is>
      </c>
      <c r="BB943" t="inlineStr">
        <is>
          <t>9780029123003</t>
        </is>
      </c>
      <c r="BC943" t="inlineStr">
        <is>
          <t>32285000136910</t>
        </is>
      </c>
      <c r="BD943" t="inlineStr">
        <is>
          <t>893516381</t>
        </is>
      </c>
    </row>
    <row r="944">
      <c r="A944" t="inlineStr">
        <is>
          <t>No</t>
        </is>
      </c>
      <c r="B944" t="inlineStr">
        <is>
          <t>HV713 .G56 1993</t>
        </is>
      </c>
      <c r="C944" t="inlineStr">
        <is>
          <t>0                      HV 0713000G  56          1993</t>
        </is>
      </c>
      <c r="D944" t="inlineStr">
        <is>
          <t>Good practice in child protection : a manual for professionals / edited by Hilary Owen and Jacki Pritchard.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London : Jessica Kingsley, 1993.</t>
        </is>
      </c>
      <c r="M944" t="inlineStr">
        <is>
          <t>1993</t>
        </is>
      </c>
      <c r="O944" t="inlineStr">
        <is>
          <t>eng</t>
        </is>
      </c>
      <c r="P944" t="inlineStr">
        <is>
          <t>enk</t>
        </is>
      </c>
      <c r="R944" t="inlineStr">
        <is>
          <t xml:space="preserve">HV </t>
        </is>
      </c>
      <c r="S944" t="n">
        <v>14</v>
      </c>
      <c r="T944" t="n">
        <v>14</v>
      </c>
      <c r="U944" t="inlineStr">
        <is>
          <t>1997-03-26</t>
        </is>
      </c>
      <c r="V944" t="inlineStr">
        <is>
          <t>1997-03-26</t>
        </is>
      </c>
      <c r="W944" t="inlineStr">
        <is>
          <t>1994-03-29</t>
        </is>
      </c>
      <c r="X944" t="inlineStr">
        <is>
          <t>1994-03-29</t>
        </is>
      </c>
      <c r="Y944" t="n">
        <v>231</v>
      </c>
      <c r="Z944" t="n">
        <v>97</v>
      </c>
      <c r="AA944" t="n">
        <v>99</v>
      </c>
      <c r="AB944" t="n">
        <v>1</v>
      </c>
      <c r="AC944" t="n">
        <v>1</v>
      </c>
      <c r="AD944" t="n">
        <v>4</v>
      </c>
      <c r="AE944" t="n">
        <v>4</v>
      </c>
      <c r="AF944" t="n">
        <v>0</v>
      </c>
      <c r="AG944" t="n">
        <v>0</v>
      </c>
      <c r="AH944" t="n">
        <v>1</v>
      </c>
      <c r="AI944" t="n">
        <v>1</v>
      </c>
      <c r="AJ944" t="n">
        <v>2</v>
      </c>
      <c r="AK944" t="n">
        <v>2</v>
      </c>
      <c r="AL944" t="n">
        <v>0</v>
      </c>
      <c r="AM944" t="n">
        <v>0</v>
      </c>
      <c r="AN944" t="n">
        <v>1</v>
      </c>
      <c r="AO944" t="n">
        <v>1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HYPERLINK("http://catalog.hathitrust.org/Record/002753981","HathiTrust Record")</f>
        <v/>
      </c>
      <c r="AS944">
        <f>HYPERLINK("https://creighton-primo.hosted.exlibrisgroup.com/primo-explore/search?tab=default_tab&amp;search_scope=EVERYTHING&amp;vid=01CRU&amp;lang=en_US&amp;offset=0&amp;query=any,contains,991002271089702656","Catalog Record")</f>
        <v/>
      </c>
      <c r="AT944">
        <f>HYPERLINK("http://www.worldcat.org/oclc/29474655","WorldCat Record")</f>
        <v/>
      </c>
      <c r="AU944" t="inlineStr">
        <is>
          <t>836973161:eng</t>
        </is>
      </c>
      <c r="AV944" t="inlineStr">
        <is>
          <t>29474655</t>
        </is>
      </c>
      <c r="AW944" t="inlineStr">
        <is>
          <t>991002271089702656</t>
        </is>
      </c>
      <c r="AX944" t="inlineStr">
        <is>
          <t>991002271089702656</t>
        </is>
      </c>
      <c r="AY944" t="inlineStr">
        <is>
          <t>2271038670002656</t>
        </is>
      </c>
      <c r="AZ944" t="inlineStr">
        <is>
          <t>BOOK</t>
        </is>
      </c>
      <c r="BB944" t="inlineStr">
        <is>
          <t>9781853022050</t>
        </is>
      </c>
      <c r="BC944" t="inlineStr">
        <is>
          <t>32285001858124</t>
        </is>
      </c>
      <c r="BD944" t="inlineStr">
        <is>
          <t>893347310</t>
        </is>
      </c>
    </row>
    <row r="945">
      <c r="A945" t="inlineStr">
        <is>
          <t>No</t>
        </is>
      </c>
      <c r="B945" t="inlineStr">
        <is>
          <t>HV713 .G764 1993</t>
        </is>
      </c>
      <c r="C945" t="inlineStr">
        <is>
          <t>0                      HV 0713000G  764         1993</t>
        </is>
      </c>
      <c r="D945" t="inlineStr">
        <is>
          <t>Group work with children and adolescents : a handbook / ed. by Kedar Nath Dwivedi ; [foreword by Robin Skynner].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L945" t="inlineStr">
        <is>
          <t>London ; Bristol, Pa. : Jessica Kingsley Publishers, 1993.</t>
        </is>
      </c>
      <c r="M945" t="inlineStr">
        <is>
          <t>1993</t>
        </is>
      </c>
      <c r="O945" t="inlineStr">
        <is>
          <t>eng</t>
        </is>
      </c>
      <c r="P945" t="inlineStr">
        <is>
          <t>enk</t>
        </is>
      </c>
      <c r="R945" t="inlineStr">
        <is>
          <t xml:space="preserve">HV </t>
        </is>
      </c>
      <c r="S945" t="n">
        <v>13</v>
      </c>
      <c r="T945" t="n">
        <v>13</v>
      </c>
      <c r="U945" t="inlineStr">
        <is>
          <t>2007-11-12</t>
        </is>
      </c>
      <c r="V945" t="inlineStr">
        <is>
          <t>2007-11-12</t>
        </is>
      </c>
      <c r="W945" t="inlineStr">
        <is>
          <t>1994-03-18</t>
        </is>
      </c>
      <c r="X945" t="inlineStr">
        <is>
          <t>1994-03-18</t>
        </is>
      </c>
      <c r="Y945" t="n">
        <v>311</v>
      </c>
      <c r="Z945" t="n">
        <v>160</v>
      </c>
      <c r="AA945" t="n">
        <v>161</v>
      </c>
      <c r="AB945" t="n">
        <v>2</v>
      </c>
      <c r="AC945" t="n">
        <v>2</v>
      </c>
      <c r="AD945" t="n">
        <v>8</v>
      </c>
      <c r="AE945" t="n">
        <v>8</v>
      </c>
      <c r="AF945" t="n">
        <v>3</v>
      </c>
      <c r="AG945" t="n">
        <v>3</v>
      </c>
      <c r="AH945" t="n">
        <v>2</v>
      </c>
      <c r="AI945" t="n">
        <v>2</v>
      </c>
      <c r="AJ945" t="n">
        <v>4</v>
      </c>
      <c r="AK945" t="n">
        <v>4</v>
      </c>
      <c r="AL945" t="n">
        <v>1</v>
      </c>
      <c r="AM945" t="n">
        <v>1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HYPERLINK("http://catalog.hathitrust.org/Record/002737105","HathiTrust Record")</f>
        <v/>
      </c>
      <c r="AS945">
        <f>HYPERLINK("https://creighton-primo.hosted.exlibrisgroup.com/primo-explore/search?tab=default_tab&amp;search_scope=EVERYTHING&amp;vid=01CRU&amp;lang=en_US&amp;offset=0&amp;query=any,contains,991002254179702656","Catalog Record")</f>
        <v/>
      </c>
      <c r="AT945">
        <f>HYPERLINK("http://www.worldcat.org/oclc/29218146","WorldCat Record")</f>
        <v/>
      </c>
      <c r="AU945" t="inlineStr">
        <is>
          <t>836929411:eng</t>
        </is>
      </c>
      <c r="AV945" t="inlineStr">
        <is>
          <t>29218146</t>
        </is>
      </c>
      <c r="AW945" t="inlineStr">
        <is>
          <t>991002254179702656</t>
        </is>
      </c>
      <c r="AX945" t="inlineStr">
        <is>
          <t>991002254179702656</t>
        </is>
      </c>
      <c r="AY945" t="inlineStr">
        <is>
          <t>2258348700002656</t>
        </is>
      </c>
      <c r="AZ945" t="inlineStr">
        <is>
          <t>BOOK</t>
        </is>
      </c>
      <c r="BB945" t="inlineStr">
        <is>
          <t>9781853021572</t>
        </is>
      </c>
      <c r="BC945" t="inlineStr">
        <is>
          <t>32285001856565</t>
        </is>
      </c>
      <c r="BD945" t="inlineStr">
        <is>
          <t>893703870</t>
        </is>
      </c>
    </row>
    <row r="946">
      <c r="A946" t="inlineStr">
        <is>
          <t>No</t>
        </is>
      </c>
      <c r="B946" t="inlineStr">
        <is>
          <t>HV713 .J87</t>
        </is>
      </c>
      <c r="C946" t="inlineStr">
        <is>
          <t>0                      HV 0713000J  87</t>
        </is>
      </c>
      <c r="D946" t="inlineStr">
        <is>
          <t>The abusing family / Blair Justice and Rita Justice.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Justice, Blair.</t>
        </is>
      </c>
      <c r="L946" t="inlineStr">
        <is>
          <t>New York : Human Sciences Press, c1976.</t>
        </is>
      </c>
      <c r="M946" t="inlineStr">
        <is>
          <t>1976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HV </t>
        </is>
      </c>
      <c r="S946" t="n">
        <v>6</v>
      </c>
      <c r="T946" t="n">
        <v>6</v>
      </c>
      <c r="U946" t="inlineStr">
        <is>
          <t>1995-10-10</t>
        </is>
      </c>
      <c r="V946" t="inlineStr">
        <is>
          <t>1995-10-10</t>
        </is>
      </c>
      <c r="W946" t="inlineStr">
        <is>
          <t>1992-11-30</t>
        </is>
      </c>
      <c r="X946" t="inlineStr">
        <is>
          <t>1992-11-30</t>
        </is>
      </c>
      <c r="Y946" t="n">
        <v>1191</v>
      </c>
      <c r="Z946" t="n">
        <v>1059</v>
      </c>
      <c r="AA946" t="n">
        <v>1266</v>
      </c>
      <c r="AB946" t="n">
        <v>12</v>
      </c>
      <c r="AC946" t="n">
        <v>14</v>
      </c>
      <c r="AD946" t="n">
        <v>35</v>
      </c>
      <c r="AE946" t="n">
        <v>43</v>
      </c>
      <c r="AF946" t="n">
        <v>13</v>
      </c>
      <c r="AG946" t="n">
        <v>17</v>
      </c>
      <c r="AH946" t="n">
        <v>6</v>
      </c>
      <c r="AI946" t="n">
        <v>6</v>
      </c>
      <c r="AJ946" t="n">
        <v>15</v>
      </c>
      <c r="AK946" t="n">
        <v>17</v>
      </c>
      <c r="AL946" t="n">
        <v>7</v>
      </c>
      <c r="AM946" t="n">
        <v>9</v>
      </c>
      <c r="AN946" t="n">
        <v>3</v>
      </c>
      <c r="AO946" t="n">
        <v>3</v>
      </c>
      <c r="AP946" t="inlineStr">
        <is>
          <t>No</t>
        </is>
      </c>
      <c r="AQ946" t="inlineStr">
        <is>
          <t>Yes</t>
        </is>
      </c>
      <c r="AR946">
        <f>HYPERLINK("http://catalog.hathitrust.org/Record/000722525","HathiTrust Record")</f>
        <v/>
      </c>
      <c r="AS946">
        <f>HYPERLINK("https://creighton-primo.hosted.exlibrisgroup.com/primo-explore/search?tab=default_tab&amp;search_scope=EVERYTHING&amp;vid=01CRU&amp;lang=en_US&amp;offset=0&amp;query=any,contains,991004008839702656","Catalog Record")</f>
        <v/>
      </c>
      <c r="AT946">
        <f>HYPERLINK("http://www.worldcat.org/oclc/2089544","WorldCat Record")</f>
        <v/>
      </c>
      <c r="AU946" t="inlineStr">
        <is>
          <t>535288:eng</t>
        </is>
      </c>
      <c r="AV946" t="inlineStr">
        <is>
          <t>2089544</t>
        </is>
      </c>
      <c r="AW946" t="inlineStr">
        <is>
          <t>991004008839702656</t>
        </is>
      </c>
      <c r="AX946" t="inlineStr">
        <is>
          <t>991004008839702656</t>
        </is>
      </c>
      <c r="AY946" t="inlineStr">
        <is>
          <t>2263429300002656</t>
        </is>
      </c>
      <c r="AZ946" t="inlineStr">
        <is>
          <t>BOOK</t>
        </is>
      </c>
      <c r="BB946" t="inlineStr">
        <is>
          <t>9780877052944</t>
        </is>
      </c>
      <c r="BC946" t="inlineStr">
        <is>
          <t>32285001410157</t>
        </is>
      </c>
      <c r="BD946" t="inlineStr">
        <is>
          <t>893722212</t>
        </is>
      </c>
    </row>
    <row r="947">
      <c r="A947" t="inlineStr">
        <is>
          <t>No</t>
        </is>
      </c>
      <c r="B947" t="inlineStr">
        <is>
          <t>HV713 .K32</t>
        </is>
      </c>
      <c r="C947" t="inlineStr">
        <is>
          <t>0                      HV 0713000K  32</t>
        </is>
      </c>
      <c r="D947" t="inlineStr">
        <is>
          <t>Child abuse--an interactional event / Alfred Kadushin and Judith A. Martin, with the assistance of James McGloin.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Kadushin, Alfred.</t>
        </is>
      </c>
      <c r="L947" t="inlineStr">
        <is>
          <t>New York : Columbia University Press, 1981.</t>
        </is>
      </c>
      <c r="M947" t="inlineStr">
        <is>
          <t>1981</t>
        </is>
      </c>
      <c r="O947" t="inlineStr">
        <is>
          <t>eng</t>
        </is>
      </c>
      <c r="P947" t="inlineStr">
        <is>
          <t>nyu</t>
        </is>
      </c>
      <c r="R947" t="inlineStr">
        <is>
          <t xml:space="preserve">HV </t>
        </is>
      </c>
      <c r="S947" t="n">
        <v>7</v>
      </c>
      <c r="T947" t="n">
        <v>7</v>
      </c>
      <c r="U947" t="inlineStr">
        <is>
          <t>1994-10-30</t>
        </is>
      </c>
      <c r="V947" t="inlineStr">
        <is>
          <t>1994-10-30</t>
        </is>
      </c>
      <c r="W947" t="inlineStr">
        <is>
          <t>1990-04-09</t>
        </is>
      </c>
      <c r="X947" t="inlineStr">
        <is>
          <t>1990-04-09</t>
        </is>
      </c>
      <c r="Y947" t="n">
        <v>727</v>
      </c>
      <c r="Z947" t="n">
        <v>627</v>
      </c>
      <c r="AA947" t="n">
        <v>627</v>
      </c>
      <c r="AB947" t="n">
        <v>8</v>
      </c>
      <c r="AC947" t="n">
        <v>8</v>
      </c>
      <c r="AD947" t="n">
        <v>33</v>
      </c>
      <c r="AE947" t="n">
        <v>33</v>
      </c>
      <c r="AF947" t="n">
        <v>11</v>
      </c>
      <c r="AG947" t="n">
        <v>11</v>
      </c>
      <c r="AH947" t="n">
        <v>6</v>
      </c>
      <c r="AI947" t="n">
        <v>6</v>
      </c>
      <c r="AJ947" t="n">
        <v>13</v>
      </c>
      <c r="AK947" t="n">
        <v>13</v>
      </c>
      <c r="AL947" t="n">
        <v>5</v>
      </c>
      <c r="AM947" t="n">
        <v>5</v>
      </c>
      <c r="AN947" t="n">
        <v>5</v>
      </c>
      <c r="AO947" t="n">
        <v>5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HYPERLINK("https://creighton-primo.hosted.exlibrisgroup.com/primo-explore/search?tab=default_tab&amp;search_scope=EVERYTHING&amp;vid=01CRU&amp;lang=en_US&amp;offset=0&amp;query=any,contains,991005079549702656","Catalog Record")</f>
        <v/>
      </c>
      <c r="AT947">
        <f>HYPERLINK("http://www.worldcat.org/oclc/7169891","WorldCat Record")</f>
        <v/>
      </c>
      <c r="AU947" t="inlineStr">
        <is>
          <t>420240:eng</t>
        </is>
      </c>
      <c r="AV947" t="inlineStr">
        <is>
          <t>7169891</t>
        </is>
      </c>
      <c r="AW947" t="inlineStr">
        <is>
          <t>991005079549702656</t>
        </is>
      </c>
      <c r="AX947" t="inlineStr">
        <is>
          <t>991005079549702656</t>
        </is>
      </c>
      <c r="AY947" t="inlineStr">
        <is>
          <t>2268709000002656</t>
        </is>
      </c>
      <c r="AZ947" t="inlineStr">
        <is>
          <t>BOOK</t>
        </is>
      </c>
      <c r="BB947" t="inlineStr">
        <is>
          <t>9780231047746</t>
        </is>
      </c>
      <c r="BC947" t="inlineStr">
        <is>
          <t>32285000112713</t>
        </is>
      </c>
      <c r="BD947" t="inlineStr">
        <is>
          <t>893722744</t>
        </is>
      </c>
    </row>
    <row r="948">
      <c r="A948" t="inlineStr">
        <is>
          <t>No</t>
        </is>
      </c>
      <c r="B948" t="inlineStr">
        <is>
          <t>HV713 .K5</t>
        </is>
      </c>
      <c r="C948" t="inlineStr">
        <is>
          <t>0                      HV 0713000K  5</t>
        </is>
      </c>
      <c r="D948" t="inlineStr">
        <is>
          <t>Child abuse and neglect : a primer for school personnel / Donald F. Kline.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K948" t="inlineStr">
        <is>
          <t>Kline, Donald F. (Donald Franklin), 1924-</t>
        </is>
      </c>
      <c r="L948" t="inlineStr">
        <is>
          <t>Reston, Va. : Council for Exceptional Children, 1977.</t>
        </is>
      </c>
      <c r="M948" t="inlineStr">
        <is>
          <t>1977</t>
        </is>
      </c>
      <c r="O948" t="inlineStr">
        <is>
          <t>eng</t>
        </is>
      </c>
      <c r="P948" t="inlineStr">
        <is>
          <t xml:space="preserve">xx </t>
        </is>
      </c>
      <c r="R948" t="inlineStr">
        <is>
          <t xml:space="preserve">HV </t>
        </is>
      </c>
      <c r="S948" t="n">
        <v>13</v>
      </c>
      <c r="T948" t="n">
        <v>13</v>
      </c>
      <c r="U948" t="inlineStr">
        <is>
          <t>1997-12-01</t>
        </is>
      </c>
      <c r="V948" t="inlineStr">
        <is>
          <t>1997-12-01</t>
        </is>
      </c>
      <c r="W948" t="inlineStr">
        <is>
          <t>1992-03-03</t>
        </is>
      </c>
      <c r="X948" t="inlineStr">
        <is>
          <t>1992-03-03</t>
        </is>
      </c>
      <c r="Y948" t="n">
        <v>136</v>
      </c>
      <c r="Z948" t="n">
        <v>117</v>
      </c>
      <c r="AA948" t="n">
        <v>126</v>
      </c>
      <c r="AB948" t="n">
        <v>1</v>
      </c>
      <c r="AC948" t="n">
        <v>1</v>
      </c>
      <c r="AD948" t="n">
        <v>2</v>
      </c>
      <c r="AE948" t="n">
        <v>2</v>
      </c>
      <c r="AF948" t="n">
        <v>1</v>
      </c>
      <c r="AG948" t="n">
        <v>1</v>
      </c>
      <c r="AH948" t="n">
        <v>0</v>
      </c>
      <c r="AI948" t="n">
        <v>0</v>
      </c>
      <c r="AJ948" t="n">
        <v>1</v>
      </c>
      <c r="AK948" t="n">
        <v>1</v>
      </c>
      <c r="AL948" t="n">
        <v>0</v>
      </c>
      <c r="AM948" t="n">
        <v>0</v>
      </c>
      <c r="AN948" t="n">
        <v>0</v>
      </c>
      <c r="AO948" t="n">
        <v>0</v>
      </c>
      <c r="AP948" t="inlineStr">
        <is>
          <t>Yes</t>
        </is>
      </c>
      <c r="AQ948" t="inlineStr">
        <is>
          <t>No</t>
        </is>
      </c>
      <c r="AR948">
        <f>HYPERLINK("http://catalog.hathitrust.org/Record/102330061","HathiTrust Record")</f>
        <v/>
      </c>
      <c r="AS948">
        <f>HYPERLINK("https://creighton-primo.hosted.exlibrisgroup.com/primo-explore/search?tab=default_tab&amp;search_scope=EVERYTHING&amp;vid=01CRU&amp;lang=en_US&amp;offset=0&amp;query=any,contains,991004477569702656","Catalog Record")</f>
        <v/>
      </c>
      <c r="AT948">
        <f>HYPERLINK("http://www.worldcat.org/oclc/3611055","WorldCat Record")</f>
        <v/>
      </c>
      <c r="AU948" t="inlineStr">
        <is>
          <t>503183848:eng</t>
        </is>
      </c>
      <c r="AV948" t="inlineStr">
        <is>
          <t>3611055</t>
        </is>
      </c>
      <c r="AW948" t="inlineStr">
        <is>
          <t>991004477569702656</t>
        </is>
      </c>
      <c r="AX948" t="inlineStr">
        <is>
          <t>991004477569702656</t>
        </is>
      </c>
      <c r="AY948" t="inlineStr">
        <is>
          <t>2264556390002656</t>
        </is>
      </c>
      <c r="AZ948" t="inlineStr">
        <is>
          <t>BOOK</t>
        </is>
      </c>
      <c r="BC948" t="inlineStr">
        <is>
          <t>32285000938752</t>
        </is>
      </c>
      <c r="BD948" t="inlineStr">
        <is>
          <t>893331624</t>
        </is>
      </c>
    </row>
    <row r="949">
      <c r="A949" t="inlineStr">
        <is>
          <t>No</t>
        </is>
      </c>
      <c r="B949" t="inlineStr">
        <is>
          <t>HV713 .L96 1984</t>
        </is>
      </c>
      <c r="C949" t="inlineStr">
        <is>
          <t>0                      HV 0713000L  96          1984</t>
        </is>
      </c>
      <c r="D949" t="inlineStr">
        <is>
          <t>Consequences of child abuse / Margaret A. Lynch and Jacqueline Roberts.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Lynch, Margaret A.</t>
        </is>
      </c>
      <c r="L949" t="inlineStr">
        <is>
          <t>London ; New York : Academic Press, 1984, c1982.</t>
        </is>
      </c>
      <c r="M949" t="inlineStr">
        <is>
          <t>1982</t>
        </is>
      </c>
      <c r="O949" t="inlineStr">
        <is>
          <t>eng</t>
        </is>
      </c>
      <c r="P949" t="inlineStr">
        <is>
          <t>enk</t>
        </is>
      </c>
      <c r="R949" t="inlineStr">
        <is>
          <t xml:space="preserve">HV </t>
        </is>
      </c>
      <c r="S949" t="n">
        <v>22</v>
      </c>
      <c r="T949" t="n">
        <v>22</v>
      </c>
      <c r="U949" t="inlineStr">
        <is>
          <t>2004-11-15</t>
        </is>
      </c>
      <c r="V949" t="inlineStr">
        <is>
          <t>2004-11-15</t>
        </is>
      </c>
      <c r="W949" t="inlineStr">
        <is>
          <t>1990-02-09</t>
        </is>
      </c>
      <c r="X949" t="inlineStr">
        <is>
          <t>1990-02-09</t>
        </is>
      </c>
      <c r="Y949" t="n">
        <v>49</v>
      </c>
      <c r="Z949" t="n">
        <v>15</v>
      </c>
      <c r="AA949" t="n">
        <v>295</v>
      </c>
      <c r="AB949" t="n">
        <v>1</v>
      </c>
      <c r="AC949" t="n">
        <v>4</v>
      </c>
      <c r="AD949" t="n">
        <v>1</v>
      </c>
      <c r="AE949" t="n">
        <v>13</v>
      </c>
      <c r="AF949" t="n">
        <v>0</v>
      </c>
      <c r="AG949" t="n">
        <v>4</v>
      </c>
      <c r="AH949" t="n">
        <v>0</v>
      </c>
      <c r="AI949" t="n">
        <v>4</v>
      </c>
      <c r="AJ949" t="n">
        <v>1</v>
      </c>
      <c r="AK949" t="n">
        <v>6</v>
      </c>
      <c r="AL949" t="n">
        <v>0</v>
      </c>
      <c r="AM949" t="n">
        <v>2</v>
      </c>
      <c r="AN949" t="n">
        <v>0</v>
      </c>
      <c r="AO949" t="n">
        <v>1</v>
      </c>
      <c r="AP949" t="inlineStr">
        <is>
          <t>No</t>
        </is>
      </c>
      <c r="AQ949" t="inlineStr">
        <is>
          <t>No</t>
        </is>
      </c>
      <c r="AS949">
        <f>HYPERLINK("https://creighton-primo.hosted.exlibrisgroup.com/primo-explore/search?tab=default_tab&amp;search_scope=EVERYTHING&amp;vid=01CRU&amp;lang=en_US&amp;offset=0&amp;query=any,contains,991000324079702656","Catalog Record")</f>
        <v/>
      </c>
      <c r="AT949">
        <f>HYPERLINK("http://www.worldcat.org/oclc/10162774","WorldCat Record")</f>
        <v/>
      </c>
      <c r="AU949" t="inlineStr">
        <is>
          <t>409374:eng</t>
        </is>
      </c>
      <c r="AV949" t="inlineStr">
        <is>
          <t>10162774</t>
        </is>
      </c>
      <c r="AW949" t="inlineStr">
        <is>
          <t>991000324079702656</t>
        </is>
      </c>
      <c r="AX949" t="inlineStr">
        <is>
          <t>991000324079702656</t>
        </is>
      </c>
      <c r="AY949" t="inlineStr">
        <is>
          <t>2267926500002656</t>
        </is>
      </c>
      <c r="AZ949" t="inlineStr">
        <is>
          <t>BOOK</t>
        </is>
      </c>
      <c r="BB949" t="inlineStr">
        <is>
          <t>9780124605701</t>
        </is>
      </c>
      <c r="BC949" t="inlineStr">
        <is>
          <t>32285000008887</t>
        </is>
      </c>
      <c r="BD949" t="inlineStr">
        <is>
          <t>893419367</t>
        </is>
      </c>
    </row>
    <row r="950">
      <c r="A950" t="inlineStr">
        <is>
          <t>No</t>
        </is>
      </c>
      <c r="B950" t="inlineStr">
        <is>
          <t>HV713 .P76</t>
        </is>
      </c>
      <c r="C950" t="inlineStr">
        <is>
          <t>0                      HV 0713000P  76</t>
        </is>
      </c>
      <c r="D950" t="inlineStr">
        <is>
          <t>Protecting children from abuse and neglect : developing and maintaining effective support systems for families / [edited by] James Garbarino, S. Holly Stocking ; with Alice H. Collins ... [et al.] ; [jacket design by Willi Baum].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L950" t="inlineStr">
        <is>
          <t>San Francisco : Jossey-Bass, c1980.</t>
        </is>
      </c>
      <c r="M950" t="inlineStr">
        <is>
          <t>1980</t>
        </is>
      </c>
      <c r="N950" t="inlineStr">
        <is>
          <t>1st ed.</t>
        </is>
      </c>
      <c r="O950" t="inlineStr">
        <is>
          <t>eng</t>
        </is>
      </c>
      <c r="P950" t="inlineStr">
        <is>
          <t>cau</t>
        </is>
      </c>
      <c r="R950" t="inlineStr">
        <is>
          <t xml:space="preserve">HV </t>
        </is>
      </c>
      <c r="S950" t="n">
        <v>9</v>
      </c>
      <c r="T950" t="n">
        <v>9</v>
      </c>
      <c r="U950" t="inlineStr">
        <is>
          <t>1995-10-23</t>
        </is>
      </c>
      <c r="V950" t="inlineStr">
        <is>
          <t>1995-10-23</t>
        </is>
      </c>
      <c r="W950" t="inlineStr">
        <is>
          <t>1990-02-27</t>
        </is>
      </c>
      <c r="X950" t="inlineStr">
        <is>
          <t>1990-02-27</t>
        </is>
      </c>
      <c r="Y950" t="n">
        <v>742</v>
      </c>
      <c r="Z950" t="n">
        <v>631</v>
      </c>
      <c r="AA950" t="n">
        <v>654</v>
      </c>
      <c r="AB950" t="n">
        <v>7</v>
      </c>
      <c r="AC950" t="n">
        <v>7</v>
      </c>
      <c r="AD950" t="n">
        <v>25</v>
      </c>
      <c r="AE950" t="n">
        <v>26</v>
      </c>
      <c r="AF950" t="n">
        <v>12</v>
      </c>
      <c r="AG950" t="n">
        <v>13</v>
      </c>
      <c r="AH950" t="n">
        <v>4</v>
      </c>
      <c r="AI950" t="n">
        <v>4</v>
      </c>
      <c r="AJ950" t="n">
        <v>9</v>
      </c>
      <c r="AK950" t="n">
        <v>9</v>
      </c>
      <c r="AL950" t="n">
        <v>5</v>
      </c>
      <c r="AM950" t="n">
        <v>5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HYPERLINK("http://catalog.hathitrust.org/Record/000690455","HathiTrust Record")</f>
        <v/>
      </c>
      <c r="AS950">
        <f>HYPERLINK("https://creighton-primo.hosted.exlibrisgroup.com/primo-explore/search?tab=default_tab&amp;search_scope=EVERYTHING&amp;vid=01CRU&amp;lang=en_US&amp;offset=0&amp;query=any,contains,991004861619702656","Catalog Record")</f>
        <v/>
      </c>
      <c r="AT950">
        <f>HYPERLINK("http://www.worldcat.org/oclc/5706733","WorldCat Record")</f>
        <v/>
      </c>
      <c r="AU950" t="inlineStr">
        <is>
          <t>894514528:eng</t>
        </is>
      </c>
      <c r="AV950" t="inlineStr">
        <is>
          <t>5706733</t>
        </is>
      </c>
      <c r="AW950" t="inlineStr">
        <is>
          <t>991004861619702656</t>
        </is>
      </c>
      <c r="AX950" t="inlineStr">
        <is>
          <t>991004861619702656</t>
        </is>
      </c>
      <c r="AY950" t="inlineStr">
        <is>
          <t>2261284080002656</t>
        </is>
      </c>
      <c r="AZ950" t="inlineStr">
        <is>
          <t>BOOK</t>
        </is>
      </c>
      <c r="BB950" t="inlineStr">
        <is>
          <t>9780875894423</t>
        </is>
      </c>
      <c r="BC950" t="inlineStr">
        <is>
          <t>32285000071190</t>
        </is>
      </c>
      <c r="BD950" t="inlineStr">
        <is>
          <t>893706927</t>
        </is>
      </c>
    </row>
    <row r="951">
      <c r="A951" t="inlineStr">
        <is>
          <t>No</t>
        </is>
      </c>
      <c r="B951" t="inlineStr">
        <is>
          <t>HV713 .P87 1987</t>
        </is>
      </c>
      <c r="C951" t="inlineStr">
        <is>
          <t>0                      HV 0713000P  87          1987</t>
        </is>
      </c>
      <c r="D951" t="inlineStr">
        <is>
          <t>Putting children first : a volume in honour of Mia Kellmer Pringle / edited by Ian Vallender and Ken Fogelman.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L951" t="inlineStr">
        <is>
          <t>London ; New York : Falmer Press in association with the National Children's Bureau, 1987.</t>
        </is>
      </c>
      <c r="M951" t="inlineStr">
        <is>
          <t>1987</t>
        </is>
      </c>
      <c r="O951" t="inlineStr">
        <is>
          <t>eng</t>
        </is>
      </c>
      <c r="P951" t="inlineStr">
        <is>
          <t>enk</t>
        </is>
      </c>
      <c r="R951" t="inlineStr">
        <is>
          <t xml:space="preserve">HV </t>
        </is>
      </c>
      <c r="S951" t="n">
        <v>7</v>
      </c>
      <c r="T951" t="n">
        <v>7</v>
      </c>
      <c r="U951" t="inlineStr">
        <is>
          <t>2002-11-04</t>
        </is>
      </c>
      <c r="V951" t="inlineStr">
        <is>
          <t>2002-11-04</t>
        </is>
      </c>
      <c r="W951" t="inlineStr">
        <is>
          <t>1990-02-09</t>
        </is>
      </c>
      <c r="X951" t="inlineStr">
        <is>
          <t>1990-02-09</t>
        </is>
      </c>
      <c r="Y951" t="n">
        <v>169</v>
      </c>
      <c r="Z951" t="n">
        <v>87</v>
      </c>
      <c r="AA951" t="n">
        <v>87</v>
      </c>
      <c r="AB951" t="n">
        <v>1</v>
      </c>
      <c r="AC951" t="n">
        <v>1</v>
      </c>
      <c r="AD951" t="n">
        <v>0</v>
      </c>
      <c r="AE951" t="n">
        <v>0</v>
      </c>
      <c r="AF951" t="n">
        <v>0</v>
      </c>
      <c r="AG951" t="n">
        <v>0</v>
      </c>
      <c r="AH951" t="n">
        <v>0</v>
      </c>
      <c r="AI951" t="n">
        <v>0</v>
      </c>
      <c r="AJ951" t="n">
        <v>0</v>
      </c>
      <c r="AK951" t="n">
        <v>0</v>
      </c>
      <c r="AL951" t="n">
        <v>0</v>
      </c>
      <c r="AM951" t="n">
        <v>0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HYPERLINK("https://creighton-primo.hosted.exlibrisgroup.com/primo-explore/search?tab=default_tab&amp;search_scope=EVERYTHING&amp;vid=01CRU&amp;lang=en_US&amp;offset=0&amp;query=any,contains,991001068799702656","Catalog Record")</f>
        <v/>
      </c>
      <c r="AT951">
        <f>HYPERLINK("http://www.worldcat.org/oclc/15856385","WorldCat Record")</f>
        <v/>
      </c>
      <c r="AU951" t="inlineStr">
        <is>
          <t>836629584:eng</t>
        </is>
      </c>
      <c r="AV951" t="inlineStr">
        <is>
          <t>15856385</t>
        </is>
      </c>
      <c r="AW951" t="inlineStr">
        <is>
          <t>991001068799702656</t>
        </is>
      </c>
      <c r="AX951" t="inlineStr">
        <is>
          <t>991001068799702656</t>
        </is>
      </c>
      <c r="AY951" t="inlineStr">
        <is>
          <t>2272400230002656</t>
        </is>
      </c>
      <c r="AZ951" t="inlineStr">
        <is>
          <t>BOOK</t>
        </is>
      </c>
      <c r="BB951" t="inlineStr">
        <is>
          <t>9781850002192</t>
        </is>
      </c>
      <c r="BC951" t="inlineStr">
        <is>
          <t>32285000009521</t>
        </is>
      </c>
      <c r="BD951" t="inlineStr">
        <is>
          <t>893708964</t>
        </is>
      </c>
    </row>
    <row r="952">
      <c r="A952" t="inlineStr">
        <is>
          <t>No</t>
        </is>
      </c>
      <c r="B952" t="inlineStr">
        <is>
          <t>HV713 .S6</t>
        </is>
      </c>
      <c r="C952" t="inlineStr">
        <is>
          <t>0                      HV 0713000S  6</t>
        </is>
      </c>
      <c r="D952" t="inlineStr">
        <is>
          <t>The battered child syndrome / Selwyn M. Smith ; foreword by Keith Simpson.</t>
        </is>
      </c>
      <c r="F952" t="inlineStr">
        <is>
          <t>No</t>
        </is>
      </c>
      <c r="G952" t="inlineStr">
        <is>
          <t>1</t>
        </is>
      </c>
      <c r="H952" t="inlineStr">
        <is>
          <t>Yes</t>
        </is>
      </c>
      <c r="I952" t="inlineStr">
        <is>
          <t>No</t>
        </is>
      </c>
      <c r="J952" t="inlineStr">
        <is>
          <t>0</t>
        </is>
      </c>
      <c r="K952" t="inlineStr">
        <is>
          <t>Smith, Selwyn M.</t>
        </is>
      </c>
      <c r="L952" t="inlineStr">
        <is>
          <t>London : Butterworth, 1975.</t>
        </is>
      </c>
      <c r="M952" t="inlineStr">
        <is>
          <t>1975</t>
        </is>
      </c>
      <c r="O952" t="inlineStr">
        <is>
          <t>eng</t>
        </is>
      </c>
      <c r="P952" t="inlineStr">
        <is>
          <t>enk</t>
        </is>
      </c>
      <c r="R952" t="inlineStr">
        <is>
          <t xml:space="preserve">HV </t>
        </is>
      </c>
      <c r="S952" t="n">
        <v>9</v>
      </c>
      <c r="T952" t="n">
        <v>11</v>
      </c>
      <c r="U952" t="inlineStr">
        <is>
          <t>1995-11-13</t>
        </is>
      </c>
      <c r="V952" t="inlineStr">
        <is>
          <t>1998-07-02</t>
        </is>
      </c>
      <c r="W952" t="inlineStr">
        <is>
          <t>1990-04-03</t>
        </is>
      </c>
      <c r="X952" t="inlineStr">
        <is>
          <t>1991-08-15</t>
        </is>
      </c>
      <c r="Y952" t="n">
        <v>466</v>
      </c>
      <c r="Z952" t="n">
        <v>325</v>
      </c>
      <c r="AA952" t="n">
        <v>332</v>
      </c>
      <c r="AB952" t="n">
        <v>4</v>
      </c>
      <c r="AC952" t="n">
        <v>4</v>
      </c>
      <c r="AD952" t="n">
        <v>5</v>
      </c>
      <c r="AE952" t="n">
        <v>5</v>
      </c>
      <c r="AF952" t="n">
        <v>1</v>
      </c>
      <c r="AG952" t="n">
        <v>1</v>
      </c>
      <c r="AH952" t="n">
        <v>2</v>
      </c>
      <c r="AI952" t="n">
        <v>2</v>
      </c>
      <c r="AJ952" t="n">
        <v>3</v>
      </c>
      <c r="AK952" t="n">
        <v>3</v>
      </c>
      <c r="AL952" t="n">
        <v>1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HYPERLINK("http://catalog.hathitrust.org/Record/000033973","HathiTrust Record")</f>
        <v/>
      </c>
      <c r="AS952">
        <f>HYPERLINK("https://creighton-primo.hosted.exlibrisgroup.com/primo-explore/search?tab=default_tab&amp;search_scope=EVERYTHING&amp;vid=01CRU&amp;lang=en_US&amp;offset=0&amp;query=any,contains,991001730029702656","Catalog Record")</f>
        <v/>
      </c>
      <c r="AT952">
        <f>HYPERLINK("http://www.worldcat.org/oclc/1582833","WorldCat Record")</f>
        <v/>
      </c>
      <c r="AU952" t="inlineStr">
        <is>
          <t>2463450:eng</t>
        </is>
      </c>
      <c r="AV952" t="inlineStr">
        <is>
          <t>1582833</t>
        </is>
      </c>
      <c r="AW952" t="inlineStr">
        <is>
          <t>991001730029702656</t>
        </is>
      </c>
      <c r="AX952" t="inlineStr">
        <is>
          <t>991001730029702656</t>
        </is>
      </c>
      <c r="AY952" t="inlineStr">
        <is>
          <t>2270839810002656</t>
        </is>
      </c>
      <c r="AZ952" t="inlineStr">
        <is>
          <t>BOOK</t>
        </is>
      </c>
      <c r="BB952" t="inlineStr">
        <is>
          <t>9780407000469</t>
        </is>
      </c>
      <c r="BC952" t="inlineStr">
        <is>
          <t>32285000101237</t>
        </is>
      </c>
      <c r="BD952" t="inlineStr">
        <is>
          <t>893696985</t>
        </is>
      </c>
    </row>
    <row r="953">
      <c r="A953" t="inlineStr">
        <is>
          <t>No</t>
        </is>
      </c>
      <c r="B953" t="inlineStr">
        <is>
          <t>HV713 .S62</t>
        </is>
      </c>
      <c r="C953" t="inlineStr">
        <is>
          <t>0                      HV 0713000S  62</t>
        </is>
      </c>
      <c r="D953" t="inlineStr">
        <is>
          <t>Social work with abused and neglected children : a manual of interdisciplinary practice / edited by Kathleen Coulborn Faller.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L953" t="inlineStr">
        <is>
          <t>New York : Free Press, c1981.</t>
        </is>
      </c>
      <c r="M953" t="inlineStr">
        <is>
          <t>1981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HV </t>
        </is>
      </c>
      <c r="S953" t="n">
        <v>17</v>
      </c>
      <c r="T953" t="n">
        <v>17</v>
      </c>
      <c r="U953" t="inlineStr">
        <is>
          <t>2000-02-06</t>
        </is>
      </c>
      <c r="V953" t="inlineStr">
        <is>
          <t>2000-02-06</t>
        </is>
      </c>
      <c r="W953" t="inlineStr">
        <is>
          <t>1990-04-30</t>
        </is>
      </c>
      <c r="X953" t="inlineStr">
        <is>
          <t>1990-04-30</t>
        </is>
      </c>
      <c r="Y953" t="n">
        <v>607</v>
      </c>
      <c r="Z953" t="n">
        <v>506</v>
      </c>
      <c r="AA953" t="n">
        <v>513</v>
      </c>
      <c r="AB953" t="n">
        <v>3</v>
      </c>
      <c r="AC953" t="n">
        <v>3</v>
      </c>
      <c r="AD953" t="n">
        <v>16</v>
      </c>
      <c r="AE953" t="n">
        <v>16</v>
      </c>
      <c r="AF953" t="n">
        <v>7</v>
      </c>
      <c r="AG953" t="n">
        <v>7</v>
      </c>
      <c r="AH953" t="n">
        <v>4</v>
      </c>
      <c r="AI953" t="n">
        <v>4</v>
      </c>
      <c r="AJ953" t="n">
        <v>9</v>
      </c>
      <c r="AK953" t="n">
        <v>9</v>
      </c>
      <c r="AL953" t="n">
        <v>2</v>
      </c>
      <c r="AM953" t="n">
        <v>2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HYPERLINK("http://catalog.hathitrust.org/Record/000266779","HathiTrust Record")</f>
        <v/>
      </c>
      <c r="AS953">
        <f>HYPERLINK("https://creighton-primo.hosted.exlibrisgroup.com/primo-explore/search?tab=default_tab&amp;search_scope=EVERYTHING&amp;vid=01CRU&amp;lang=en_US&amp;offset=0&amp;query=any,contains,991005130859702656","Catalog Record")</f>
        <v/>
      </c>
      <c r="AT953">
        <f>HYPERLINK("http://www.worldcat.org/oclc/7572359","WorldCat Record")</f>
        <v/>
      </c>
      <c r="AU953" t="inlineStr">
        <is>
          <t>891073820:eng</t>
        </is>
      </c>
      <c r="AV953" t="inlineStr">
        <is>
          <t>7572359</t>
        </is>
      </c>
      <c r="AW953" t="inlineStr">
        <is>
          <t>991005130859702656</t>
        </is>
      </c>
      <c r="AX953" t="inlineStr">
        <is>
          <t>991005130859702656</t>
        </is>
      </c>
      <c r="AY953" t="inlineStr">
        <is>
          <t>2269955940002656</t>
        </is>
      </c>
      <c r="AZ953" t="inlineStr">
        <is>
          <t>BOOK</t>
        </is>
      </c>
      <c r="BB953" t="inlineStr">
        <is>
          <t>9780029102800</t>
        </is>
      </c>
      <c r="BC953" t="inlineStr">
        <is>
          <t>32285000134931</t>
        </is>
      </c>
      <c r="BD953" t="inlineStr">
        <is>
          <t>893344691</t>
        </is>
      </c>
    </row>
    <row r="954">
      <c r="A954" t="inlineStr">
        <is>
          <t>No</t>
        </is>
      </c>
      <c r="B954" t="inlineStr">
        <is>
          <t>HV713 .W27 1998</t>
        </is>
      </c>
      <c r="C954" t="inlineStr">
        <is>
          <t>0                      HV 0713000W  27          1998</t>
        </is>
      </c>
      <c r="D954" t="inlineStr">
        <is>
          <t>The future of child protection : how to break the cycle of abuse and neglect / Jane Waldfogel.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Waldfogel, Jane.</t>
        </is>
      </c>
      <c r="L954" t="inlineStr">
        <is>
          <t>Cambridge, Mass. : Harvard University Press, 1998.</t>
        </is>
      </c>
      <c r="M954" t="inlineStr">
        <is>
          <t>1998</t>
        </is>
      </c>
      <c r="O954" t="inlineStr">
        <is>
          <t>eng</t>
        </is>
      </c>
      <c r="P954" t="inlineStr">
        <is>
          <t>mau</t>
        </is>
      </c>
      <c r="R954" t="inlineStr">
        <is>
          <t xml:space="preserve">HV </t>
        </is>
      </c>
      <c r="S954" t="n">
        <v>7</v>
      </c>
      <c r="T954" t="n">
        <v>7</v>
      </c>
      <c r="U954" t="inlineStr">
        <is>
          <t>2004-11-22</t>
        </is>
      </c>
      <c r="V954" t="inlineStr">
        <is>
          <t>2004-11-22</t>
        </is>
      </c>
      <c r="W954" t="inlineStr">
        <is>
          <t>1998-12-14</t>
        </is>
      </c>
      <c r="X954" t="inlineStr">
        <is>
          <t>1998-12-14</t>
        </is>
      </c>
      <c r="Y954" t="n">
        <v>676</v>
      </c>
      <c r="Z954" t="n">
        <v>565</v>
      </c>
      <c r="AA954" t="n">
        <v>597</v>
      </c>
      <c r="AB954" t="n">
        <v>3</v>
      </c>
      <c r="AC954" t="n">
        <v>3</v>
      </c>
      <c r="AD954" t="n">
        <v>35</v>
      </c>
      <c r="AE954" t="n">
        <v>35</v>
      </c>
      <c r="AF954" t="n">
        <v>11</v>
      </c>
      <c r="AG954" t="n">
        <v>11</v>
      </c>
      <c r="AH954" t="n">
        <v>9</v>
      </c>
      <c r="AI954" t="n">
        <v>9</v>
      </c>
      <c r="AJ954" t="n">
        <v>16</v>
      </c>
      <c r="AK954" t="n">
        <v>16</v>
      </c>
      <c r="AL954" t="n">
        <v>2</v>
      </c>
      <c r="AM954" t="n">
        <v>2</v>
      </c>
      <c r="AN954" t="n">
        <v>7</v>
      </c>
      <c r="AO954" t="n">
        <v>7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HYPERLINK("https://creighton-primo.hosted.exlibrisgroup.com/primo-explore/search?tab=default_tab&amp;search_scope=EVERYTHING&amp;vid=01CRU&amp;lang=en_US&amp;offset=0&amp;query=any,contains,991002939139702656","Catalog Record")</f>
        <v/>
      </c>
      <c r="AT954">
        <f>HYPERLINK("http://www.worldcat.org/oclc/39101910","WorldCat Record")</f>
        <v/>
      </c>
      <c r="AU954" t="inlineStr">
        <is>
          <t>2676525:eng</t>
        </is>
      </c>
      <c r="AV954" t="inlineStr">
        <is>
          <t>39101910</t>
        </is>
      </c>
      <c r="AW954" t="inlineStr">
        <is>
          <t>991002939139702656</t>
        </is>
      </c>
      <c r="AX954" t="inlineStr">
        <is>
          <t>991002939139702656</t>
        </is>
      </c>
      <c r="AY954" t="inlineStr">
        <is>
          <t>2260446350002656</t>
        </is>
      </c>
      <c r="AZ954" t="inlineStr">
        <is>
          <t>BOOK</t>
        </is>
      </c>
      <c r="BB954" t="inlineStr">
        <is>
          <t>9780674338111</t>
        </is>
      </c>
      <c r="BC954" t="inlineStr">
        <is>
          <t>32285003505996</t>
        </is>
      </c>
      <c r="BD954" t="inlineStr">
        <is>
          <t>893535265</t>
        </is>
      </c>
    </row>
    <row r="955">
      <c r="A955" t="inlineStr">
        <is>
          <t>No</t>
        </is>
      </c>
      <c r="B955" t="inlineStr">
        <is>
          <t>HV713 .W39 2003</t>
        </is>
      </c>
      <c r="C955" t="inlineStr">
        <is>
          <t>0                      HV 0713000W  39          2003</t>
        </is>
      </c>
      <c r="D955" t="inlineStr">
        <is>
          <t>Social work practice with children / Nancy Boyd Webb ; foreword by Cynthia Franklin.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Webb, Nancy Boyd, 1932-</t>
        </is>
      </c>
      <c r="L955" t="inlineStr">
        <is>
          <t>New York, N.Y. : Guilford Press, c2003.</t>
        </is>
      </c>
      <c r="M955" t="inlineStr">
        <is>
          <t>2003</t>
        </is>
      </c>
      <c r="N955" t="inlineStr">
        <is>
          <t>2nd ed.</t>
        </is>
      </c>
      <c r="O955" t="inlineStr">
        <is>
          <t>eng</t>
        </is>
      </c>
      <c r="P955" t="inlineStr">
        <is>
          <t>nyu</t>
        </is>
      </c>
      <c r="Q955" t="inlineStr">
        <is>
          <t>Social work practice with children and families</t>
        </is>
      </c>
      <c r="R955" t="inlineStr">
        <is>
          <t xml:space="preserve">HV </t>
        </is>
      </c>
      <c r="S955" t="n">
        <v>2</v>
      </c>
      <c r="T955" t="n">
        <v>2</v>
      </c>
      <c r="U955" t="inlineStr">
        <is>
          <t>2007-07-02</t>
        </is>
      </c>
      <c r="V955" t="inlineStr">
        <is>
          <t>2007-07-02</t>
        </is>
      </c>
      <c r="W955" t="inlineStr">
        <is>
          <t>2003-09-02</t>
        </is>
      </c>
      <c r="X955" t="inlineStr">
        <is>
          <t>2003-09-02</t>
        </is>
      </c>
      <c r="Y955" t="n">
        <v>341</v>
      </c>
      <c r="Z955" t="n">
        <v>268</v>
      </c>
      <c r="AA955" t="n">
        <v>608</v>
      </c>
      <c r="AB955" t="n">
        <v>4</v>
      </c>
      <c r="AC955" t="n">
        <v>7</v>
      </c>
      <c r="AD955" t="n">
        <v>13</v>
      </c>
      <c r="AE955" t="n">
        <v>27</v>
      </c>
      <c r="AF955" t="n">
        <v>1</v>
      </c>
      <c r="AG955" t="n">
        <v>9</v>
      </c>
      <c r="AH955" t="n">
        <v>4</v>
      </c>
      <c r="AI955" t="n">
        <v>4</v>
      </c>
      <c r="AJ955" t="n">
        <v>6</v>
      </c>
      <c r="AK955" t="n">
        <v>11</v>
      </c>
      <c r="AL955" t="n">
        <v>3</v>
      </c>
      <c r="AM955" t="n">
        <v>6</v>
      </c>
      <c r="AN955" t="n">
        <v>0</v>
      </c>
      <c r="AO955" t="n">
        <v>1</v>
      </c>
      <c r="AP955" t="inlineStr">
        <is>
          <t>No</t>
        </is>
      </c>
      <c r="AQ955" t="inlineStr">
        <is>
          <t>No</t>
        </is>
      </c>
      <c r="AS955">
        <f>HYPERLINK("https://creighton-primo.hosted.exlibrisgroup.com/primo-explore/search?tab=default_tab&amp;search_scope=EVERYTHING&amp;vid=01CRU&amp;lang=en_US&amp;offset=0&amp;query=any,contains,991004101769702656","Catalog Record")</f>
        <v/>
      </c>
      <c r="AT955">
        <f>HYPERLINK("http://www.worldcat.org/oclc/51290059","WorldCat Record")</f>
        <v/>
      </c>
      <c r="AU955" t="inlineStr">
        <is>
          <t>783218:eng</t>
        </is>
      </c>
      <c r="AV955" t="inlineStr">
        <is>
          <t>51290059</t>
        </is>
      </c>
      <c r="AW955" t="inlineStr">
        <is>
          <t>991004101769702656</t>
        </is>
      </c>
      <c r="AX955" t="inlineStr">
        <is>
          <t>991004101769702656</t>
        </is>
      </c>
      <c r="AY955" t="inlineStr">
        <is>
          <t>2265285990002656</t>
        </is>
      </c>
      <c r="AZ955" t="inlineStr">
        <is>
          <t>BOOK</t>
        </is>
      </c>
      <c r="BB955" t="inlineStr">
        <is>
          <t>9781572308862</t>
        </is>
      </c>
      <c r="BC955" t="inlineStr">
        <is>
          <t>32285004780887</t>
        </is>
      </c>
      <c r="BD955" t="inlineStr">
        <is>
          <t>893519241</t>
        </is>
      </c>
    </row>
    <row r="956">
      <c r="A956" t="inlineStr">
        <is>
          <t>No</t>
        </is>
      </c>
      <c r="B956" t="inlineStr">
        <is>
          <t>HV715 .A37 1987</t>
        </is>
      </c>
      <c r="C956" t="inlineStr">
        <is>
          <t>0                      HV 0715000A  37          1987</t>
        </is>
      </c>
      <c r="D956" t="inlineStr">
        <is>
          <t>Adolescent runaways : causes and consequences / Mark-David Janus ... [et. al.].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Lexington, Mass. : Lexington Books, c1987.</t>
        </is>
      </c>
      <c r="M956" t="inlineStr">
        <is>
          <t>1987</t>
        </is>
      </c>
      <c r="O956" t="inlineStr">
        <is>
          <t>eng</t>
        </is>
      </c>
      <c r="P956" t="inlineStr">
        <is>
          <t>mau</t>
        </is>
      </c>
      <c r="R956" t="inlineStr">
        <is>
          <t xml:space="preserve">HV </t>
        </is>
      </c>
      <c r="S956" t="n">
        <v>5</v>
      </c>
      <c r="T956" t="n">
        <v>5</v>
      </c>
      <c r="U956" t="inlineStr">
        <is>
          <t>2001-02-23</t>
        </is>
      </c>
      <c r="V956" t="inlineStr">
        <is>
          <t>2001-02-23</t>
        </is>
      </c>
      <c r="W956" t="inlineStr">
        <is>
          <t>1991-12-09</t>
        </is>
      </c>
      <c r="X956" t="inlineStr">
        <is>
          <t>1991-12-09</t>
        </is>
      </c>
      <c r="Y956" t="n">
        <v>666</v>
      </c>
      <c r="Z956" t="n">
        <v>600</v>
      </c>
      <c r="AA956" t="n">
        <v>617</v>
      </c>
      <c r="AB956" t="n">
        <v>3</v>
      </c>
      <c r="AC956" t="n">
        <v>3</v>
      </c>
      <c r="AD956" t="n">
        <v>19</v>
      </c>
      <c r="AE956" t="n">
        <v>21</v>
      </c>
      <c r="AF956" t="n">
        <v>10</v>
      </c>
      <c r="AG956" t="n">
        <v>11</v>
      </c>
      <c r="AH956" t="n">
        <v>6</v>
      </c>
      <c r="AI956" t="n">
        <v>7</v>
      </c>
      <c r="AJ956" t="n">
        <v>9</v>
      </c>
      <c r="AK956" t="n">
        <v>9</v>
      </c>
      <c r="AL956" t="n">
        <v>2</v>
      </c>
      <c r="AM956" t="n">
        <v>2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HYPERLINK("http://catalog.hathitrust.org/Record/000820951","HathiTrust Record")</f>
        <v/>
      </c>
      <c r="AS956">
        <f>HYPERLINK("https://creighton-primo.hosted.exlibrisgroup.com/primo-explore/search?tab=default_tab&amp;search_scope=EVERYTHING&amp;vid=01CRU&amp;lang=en_US&amp;offset=0&amp;query=any,contains,991000934419702656","Catalog Record")</f>
        <v/>
      </c>
      <c r="AT956">
        <f>HYPERLINK("http://www.worldcat.org/oclc/14356409","WorldCat Record")</f>
        <v/>
      </c>
      <c r="AU956" t="inlineStr">
        <is>
          <t>894364591:eng</t>
        </is>
      </c>
      <c r="AV956" t="inlineStr">
        <is>
          <t>14356409</t>
        </is>
      </c>
      <c r="AW956" t="inlineStr">
        <is>
          <t>991000934419702656</t>
        </is>
      </c>
      <c r="AX956" t="inlineStr">
        <is>
          <t>991000934419702656</t>
        </is>
      </c>
      <c r="AY956" t="inlineStr">
        <is>
          <t>2255478200002656</t>
        </is>
      </c>
      <c r="AZ956" t="inlineStr">
        <is>
          <t>BOOK</t>
        </is>
      </c>
      <c r="BB956" t="inlineStr">
        <is>
          <t>9780669152807</t>
        </is>
      </c>
      <c r="BC956" t="inlineStr">
        <is>
          <t>32285000873009</t>
        </is>
      </c>
      <c r="BD956" t="inlineStr">
        <is>
          <t>893515761</t>
        </is>
      </c>
    </row>
    <row r="957">
      <c r="A957" t="inlineStr">
        <is>
          <t>No</t>
        </is>
      </c>
      <c r="B957" t="inlineStr">
        <is>
          <t>HV715 .E34 1991</t>
        </is>
      </c>
      <c r="C957" t="inlineStr">
        <is>
          <t>0                      HV 0715000E  34          1991</t>
        </is>
      </c>
      <c r="D957" t="inlineStr">
        <is>
          <t>The Effects of child abuse and neglect : issues and research / edited by Raymond H. Starr, Jr., David A. Wolfe.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L957" t="inlineStr">
        <is>
          <t>London ; New York : Guilford Press, 1991.</t>
        </is>
      </c>
      <c r="M957" t="inlineStr">
        <is>
          <t>1991</t>
        </is>
      </c>
      <c r="O957" t="inlineStr">
        <is>
          <t>eng</t>
        </is>
      </c>
      <c r="P957" t="inlineStr">
        <is>
          <t>enk</t>
        </is>
      </c>
      <c r="R957" t="inlineStr">
        <is>
          <t xml:space="preserve">HV </t>
        </is>
      </c>
      <c r="S957" t="n">
        <v>39</v>
      </c>
      <c r="T957" t="n">
        <v>39</v>
      </c>
      <c r="U957" t="inlineStr">
        <is>
          <t>2004-11-15</t>
        </is>
      </c>
      <c r="V957" t="inlineStr">
        <is>
          <t>2004-11-15</t>
        </is>
      </c>
      <c r="W957" t="inlineStr">
        <is>
          <t>1991-09-06</t>
        </is>
      </c>
      <c r="X957" t="inlineStr">
        <is>
          <t>1991-09-06</t>
        </is>
      </c>
      <c r="Y957" t="n">
        <v>666</v>
      </c>
      <c r="Z957" t="n">
        <v>578</v>
      </c>
      <c r="AA957" t="n">
        <v>594</v>
      </c>
      <c r="AB957" t="n">
        <v>6</v>
      </c>
      <c r="AC957" t="n">
        <v>6</v>
      </c>
      <c r="AD957" t="n">
        <v>24</v>
      </c>
      <c r="AE957" t="n">
        <v>25</v>
      </c>
      <c r="AF957" t="n">
        <v>5</v>
      </c>
      <c r="AG957" t="n">
        <v>6</v>
      </c>
      <c r="AH957" t="n">
        <v>8</v>
      </c>
      <c r="AI957" t="n">
        <v>8</v>
      </c>
      <c r="AJ957" t="n">
        <v>14</v>
      </c>
      <c r="AK957" t="n">
        <v>15</v>
      </c>
      <c r="AL957" t="n">
        <v>4</v>
      </c>
      <c r="AM957" t="n">
        <v>4</v>
      </c>
      <c r="AN957" t="n">
        <v>0</v>
      </c>
      <c r="AO957" t="n">
        <v>0</v>
      </c>
      <c r="AP957" t="inlineStr">
        <is>
          <t>No</t>
        </is>
      </c>
      <c r="AQ957" t="inlineStr">
        <is>
          <t>No</t>
        </is>
      </c>
      <c r="AS957">
        <f>HYPERLINK("https://creighton-primo.hosted.exlibrisgroup.com/primo-explore/search?tab=default_tab&amp;search_scope=EVERYTHING&amp;vid=01CRU&amp;lang=en_US&amp;offset=0&amp;query=any,contains,991001898139702656","Catalog Record")</f>
        <v/>
      </c>
      <c r="AT957">
        <f>HYPERLINK("http://www.worldcat.org/oclc/23974497","WorldCat Record")</f>
        <v/>
      </c>
      <c r="AU957" t="inlineStr">
        <is>
          <t>364259088:eng</t>
        </is>
      </c>
      <c r="AV957" t="inlineStr">
        <is>
          <t>23974497</t>
        </is>
      </c>
      <c r="AW957" t="inlineStr">
        <is>
          <t>991001898139702656</t>
        </is>
      </c>
      <c r="AX957" t="inlineStr">
        <is>
          <t>991001898139702656</t>
        </is>
      </c>
      <c r="AY957" t="inlineStr">
        <is>
          <t>2269301960002656</t>
        </is>
      </c>
      <c r="AZ957" t="inlineStr">
        <is>
          <t>BOOK</t>
        </is>
      </c>
      <c r="BB957" t="inlineStr">
        <is>
          <t>9780898627596</t>
        </is>
      </c>
      <c r="BC957" t="inlineStr">
        <is>
          <t>32285000702505</t>
        </is>
      </c>
      <c r="BD957" t="inlineStr">
        <is>
          <t>893261973</t>
        </is>
      </c>
    </row>
    <row r="958">
      <c r="A958" t="inlineStr">
        <is>
          <t>No</t>
        </is>
      </c>
      <c r="B958" t="inlineStr">
        <is>
          <t>HV715 .H29 1982</t>
        </is>
      </c>
      <c r="C958" t="inlineStr">
        <is>
          <t>0                      HV 0715000H  29          1982</t>
        </is>
      </c>
      <c r="D958" t="inlineStr">
        <is>
          <t>Handbook of clinical intervention in child sexual abuse / [edited by] Suzanne M. Sgroi.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Lexington, Mass. : Lexington Books, c1982, 1983 printing.</t>
        </is>
      </c>
      <c r="M958" t="inlineStr">
        <is>
          <t>1982</t>
        </is>
      </c>
      <c r="O958" t="inlineStr">
        <is>
          <t>eng</t>
        </is>
      </c>
      <c r="P958" t="inlineStr">
        <is>
          <t>mau</t>
        </is>
      </c>
      <c r="R958" t="inlineStr">
        <is>
          <t xml:space="preserve">HV </t>
        </is>
      </c>
      <c r="S958" t="n">
        <v>5</v>
      </c>
      <c r="T958" t="n">
        <v>5</v>
      </c>
      <c r="U958" t="inlineStr">
        <is>
          <t>2004-11-15</t>
        </is>
      </c>
      <c r="V958" t="inlineStr">
        <is>
          <t>2004-11-15</t>
        </is>
      </c>
      <c r="W958" t="inlineStr">
        <is>
          <t>1992-02-06</t>
        </is>
      </c>
      <c r="X958" t="inlineStr">
        <is>
          <t>1992-02-06</t>
        </is>
      </c>
      <c r="Y958" t="n">
        <v>872</v>
      </c>
      <c r="Z958" t="n">
        <v>718</v>
      </c>
      <c r="AA958" t="n">
        <v>748</v>
      </c>
      <c r="AB958" t="n">
        <v>3</v>
      </c>
      <c r="AC958" t="n">
        <v>3</v>
      </c>
      <c r="AD958" t="n">
        <v>27</v>
      </c>
      <c r="AE958" t="n">
        <v>28</v>
      </c>
      <c r="AF958" t="n">
        <v>15</v>
      </c>
      <c r="AG958" t="n">
        <v>16</v>
      </c>
      <c r="AH958" t="n">
        <v>6</v>
      </c>
      <c r="AI958" t="n">
        <v>6</v>
      </c>
      <c r="AJ958" t="n">
        <v>12</v>
      </c>
      <c r="AK958" t="n">
        <v>12</v>
      </c>
      <c r="AL958" t="n">
        <v>1</v>
      </c>
      <c r="AM958" t="n">
        <v>1</v>
      </c>
      <c r="AN958" t="n">
        <v>2</v>
      </c>
      <c r="AO958" t="n">
        <v>2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HYPERLINK("http://catalog.hathitrust.org/Record/000318663","HathiTrust Record")</f>
        <v/>
      </c>
      <c r="AS958">
        <f>HYPERLINK("https://creighton-primo.hosted.exlibrisgroup.com/primo-explore/search?tab=default_tab&amp;search_scope=EVERYTHING&amp;vid=01CRU&amp;lang=en_US&amp;offset=0&amp;query=any,contains,991005145069702656","Catalog Record")</f>
        <v/>
      </c>
      <c r="AT958">
        <f>HYPERLINK("http://www.worldcat.org/oclc/7653721","WorldCat Record")</f>
        <v/>
      </c>
      <c r="AU958" t="inlineStr">
        <is>
          <t>54455292:eng</t>
        </is>
      </c>
      <c r="AV958" t="inlineStr">
        <is>
          <t>7653721</t>
        </is>
      </c>
      <c r="AW958" t="inlineStr">
        <is>
          <t>991005145069702656</t>
        </is>
      </c>
      <c r="AX958" t="inlineStr">
        <is>
          <t>991005145069702656</t>
        </is>
      </c>
      <c r="AY958" t="inlineStr">
        <is>
          <t>2258664640002656</t>
        </is>
      </c>
      <c r="AZ958" t="inlineStr">
        <is>
          <t>BOOK</t>
        </is>
      </c>
      <c r="BB958" t="inlineStr">
        <is>
          <t>9780669047202</t>
        </is>
      </c>
      <c r="BC958" t="inlineStr">
        <is>
          <t>32285000943513</t>
        </is>
      </c>
      <c r="BD958" t="inlineStr">
        <is>
          <t>893260626</t>
        </is>
      </c>
    </row>
    <row r="959">
      <c r="A959" t="inlineStr">
        <is>
          <t>No</t>
        </is>
      </c>
      <c r="B959" t="inlineStr">
        <is>
          <t>HV715 .M33 1984</t>
        </is>
      </c>
      <c r="C959" t="inlineStr">
        <is>
          <t>0                      HV 0715000M  33          1984</t>
        </is>
      </c>
      <c r="D959" t="inlineStr">
        <is>
          <t>The psychology of abuse / Michael Colin Macpherson.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Macpherson, Michael Colin.</t>
        </is>
      </c>
      <c r="L959" t="inlineStr">
        <is>
          <t>Saratoga, CA : R &amp; E Publishers, c1984.</t>
        </is>
      </c>
      <c r="M959" t="inlineStr">
        <is>
          <t>1984</t>
        </is>
      </c>
      <c r="O959" t="inlineStr">
        <is>
          <t>eng</t>
        </is>
      </c>
      <c r="P959" t="inlineStr">
        <is>
          <t>cau</t>
        </is>
      </c>
      <c r="R959" t="inlineStr">
        <is>
          <t xml:space="preserve">HV </t>
        </is>
      </c>
      <c r="S959" t="n">
        <v>21</v>
      </c>
      <c r="T959" t="n">
        <v>21</v>
      </c>
      <c r="U959" t="inlineStr">
        <is>
          <t>2004-11-15</t>
        </is>
      </c>
      <c r="V959" t="inlineStr">
        <is>
          <t>2004-11-15</t>
        </is>
      </c>
      <c r="W959" t="inlineStr">
        <is>
          <t>1990-03-28</t>
        </is>
      </c>
      <c r="X959" t="inlineStr">
        <is>
          <t>1990-03-28</t>
        </is>
      </c>
      <c r="Y959" t="n">
        <v>180</v>
      </c>
      <c r="Z959" t="n">
        <v>156</v>
      </c>
      <c r="AA959" t="n">
        <v>161</v>
      </c>
      <c r="AB959" t="n">
        <v>2</v>
      </c>
      <c r="AC959" t="n">
        <v>2</v>
      </c>
      <c r="AD959" t="n">
        <v>3</v>
      </c>
      <c r="AE959" t="n">
        <v>3</v>
      </c>
      <c r="AF959" t="n">
        <v>0</v>
      </c>
      <c r="AG959" t="n">
        <v>0</v>
      </c>
      <c r="AH959" t="n">
        <v>0</v>
      </c>
      <c r="AI959" t="n">
        <v>0</v>
      </c>
      <c r="AJ959" t="n">
        <v>2</v>
      </c>
      <c r="AK959" t="n">
        <v>2</v>
      </c>
      <c r="AL959" t="n">
        <v>1</v>
      </c>
      <c r="AM959" t="n">
        <v>1</v>
      </c>
      <c r="AN959" t="n">
        <v>0</v>
      </c>
      <c r="AO959" t="n">
        <v>0</v>
      </c>
      <c r="AP959" t="inlineStr">
        <is>
          <t>No</t>
        </is>
      </c>
      <c r="AQ959" t="inlineStr">
        <is>
          <t>Yes</t>
        </is>
      </c>
      <c r="AR959">
        <f>HYPERLINK("http://catalog.hathitrust.org/Record/000435344","HathiTrust Record")</f>
        <v/>
      </c>
      <c r="AS959">
        <f>HYPERLINK("https://creighton-primo.hosted.exlibrisgroup.com/primo-explore/search?tab=default_tab&amp;search_scope=EVERYTHING&amp;vid=01CRU&amp;lang=en_US&amp;offset=0&amp;query=any,contains,991000806379702656","Catalog Record")</f>
        <v/>
      </c>
      <c r="AT959">
        <f>HYPERLINK("http://www.worldcat.org/oclc/13042413","WorldCat Record")</f>
        <v/>
      </c>
      <c r="AU959" t="inlineStr">
        <is>
          <t>5834000:eng</t>
        </is>
      </c>
      <c r="AV959" t="inlineStr">
        <is>
          <t>13042413</t>
        </is>
      </c>
      <c r="AW959" t="inlineStr">
        <is>
          <t>991000806379702656</t>
        </is>
      </c>
      <c r="AX959" t="inlineStr">
        <is>
          <t>991000806379702656</t>
        </is>
      </c>
      <c r="AY959" t="inlineStr">
        <is>
          <t>2269324960002656</t>
        </is>
      </c>
      <c r="AZ959" t="inlineStr">
        <is>
          <t>BOOK</t>
        </is>
      </c>
      <c r="BB959" t="inlineStr">
        <is>
          <t>9780882477220</t>
        </is>
      </c>
      <c r="BC959" t="inlineStr">
        <is>
          <t>32285000105881</t>
        </is>
      </c>
      <c r="BD959" t="inlineStr">
        <is>
          <t>893515627</t>
        </is>
      </c>
    </row>
    <row r="960">
      <c r="A960" t="inlineStr">
        <is>
          <t>No</t>
        </is>
      </c>
      <c r="B960" t="inlineStr">
        <is>
          <t>HV715 .P79 1980</t>
        </is>
      </c>
      <c r="C960" t="inlineStr">
        <is>
          <t>0                      HV 0715000P  79          1980</t>
        </is>
      </c>
      <c r="D960" t="inlineStr">
        <is>
          <t>Psychological approaches to child abuse / edited by Neil Frude.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L960" t="inlineStr">
        <is>
          <t>London : Batsford Academic and Educational, 1980.</t>
        </is>
      </c>
      <c r="M960" t="inlineStr">
        <is>
          <t>1980</t>
        </is>
      </c>
      <c r="O960" t="inlineStr">
        <is>
          <t>eng</t>
        </is>
      </c>
      <c r="P960" t="inlineStr">
        <is>
          <t>enk</t>
        </is>
      </c>
      <c r="R960" t="inlineStr">
        <is>
          <t xml:space="preserve">HV </t>
        </is>
      </c>
      <c r="S960" t="n">
        <v>24</v>
      </c>
      <c r="T960" t="n">
        <v>24</v>
      </c>
      <c r="U960" t="inlineStr">
        <is>
          <t>2004-11-15</t>
        </is>
      </c>
      <c r="V960" t="inlineStr">
        <is>
          <t>2004-11-15</t>
        </is>
      </c>
      <c r="W960" t="inlineStr">
        <is>
          <t>1991-12-09</t>
        </is>
      </c>
      <c r="X960" t="inlineStr">
        <is>
          <t>1991-12-09</t>
        </is>
      </c>
      <c r="Y960" t="n">
        <v>201</v>
      </c>
      <c r="Z960" t="n">
        <v>104</v>
      </c>
      <c r="AA960" t="n">
        <v>445</v>
      </c>
      <c r="AB960" t="n">
        <v>2</v>
      </c>
      <c r="AC960" t="n">
        <v>8</v>
      </c>
      <c r="AD960" t="n">
        <v>4</v>
      </c>
      <c r="AE960" t="n">
        <v>22</v>
      </c>
      <c r="AF960" t="n">
        <v>0</v>
      </c>
      <c r="AG960" t="n">
        <v>7</v>
      </c>
      <c r="AH960" t="n">
        <v>2</v>
      </c>
      <c r="AI960" t="n">
        <v>5</v>
      </c>
      <c r="AJ960" t="n">
        <v>1</v>
      </c>
      <c r="AK960" t="n">
        <v>8</v>
      </c>
      <c r="AL960" t="n">
        <v>1</v>
      </c>
      <c r="AM960" t="n">
        <v>6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HYPERLINK("http://catalog.hathitrust.org/Record/000084325","HathiTrust Record")</f>
        <v/>
      </c>
      <c r="AS960">
        <f>HYPERLINK("https://creighton-primo.hosted.exlibrisgroup.com/primo-explore/search?tab=default_tab&amp;search_scope=EVERYTHING&amp;vid=01CRU&amp;lang=en_US&amp;offset=0&amp;query=any,contains,991005102199702656","Catalog Record")</f>
        <v/>
      </c>
      <c r="AT960">
        <f>HYPERLINK("http://www.worldcat.org/oclc/7741343","WorldCat Record")</f>
        <v/>
      </c>
      <c r="AU960" t="inlineStr">
        <is>
          <t>54401137:eng</t>
        </is>
      </c>
      <c r="AV960" t="inlineStr">
        <is>
          <t>7741343</t>
        </is>
      </c>
      <c r="AW960" t="inlineStr">
        <is>
          <t>991005102199702656</t>
        </is>
      </c>
      <c r="AX960" t="inlineStr">
        <is>
          <t>991005102199702656</t>
        </is>
      </c>
      <c r="AY960" t="inlineStr">
        <is>
          <t>2272133310002656</t>
        </is>
      </c>
      <c r="AZ960" t="inlineStr">
        <is>
          <t>BOOK</t>
        </is>
      </c>
      <c r="BB960" t="inlineStr">
        <is>
          <t>9780713437140</t>
        </is>
      </c>
      <c r="BC960" t="inlineStr">
        <is>
          <t>32285000890029</t>
        </is>
      </c>
      <c r="BD960" t="inlineStr">
        <is>
          <t>893889672</t>
        </is>
      </c>
    </row>
    <row r="961">
      <c r="A961" t="inlineStr">
        <is>
          <t>No</t>
        </is>
      </c>
      <c r="B961" t="inlineStr">
        <is>
          <t>HV7150 .W37 1998</t>
        </is>
      </c>
      <c r="C961" t="inlineStr">
        <is>
          <t>0                      HV 7150000W  37          1998</t>
        </is>
      </c>
      <c r="D961" t="inlineStr">
        <is>
          <t>War and peace in Southern Africa : crime, drugs, armies, and trade / Robert I. Rotberg and Greg Mills, editors.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L961" t="inlineStr">
        <is>
          <t>Washington, D.C. : Brookings Institution Press, ; Cambridge, Mass. : World Peace Foundation, c1998.</t>
        </is>
      </c>
      <c r="M961" t="inlineStr">
        <is>
          <t>1998</t>
        </is>
      </c>
      <c r="O961" t="inlineStr">
        <is>
          <t>eng</t>
        </is>
      </c>
      <c r="P961" t="inlineStr">
        <is>
          <t>dcu</t>
        </is>
      </c>
      <c r="R961" t="inlineStr">
        <is>
          <t xml:space="preserve">HV </t>
        </is>
      </c>
      <c r="S961" t="n">
        <v>6</v>
      </c>
      <c r="T961" t="n">
        <v>6</v>
      </c>
      <c r="U961" t="inlineStr">
        <is>
          <t>2003-04-04</t>
        </is>
      </c>
      <c r="V961" t="inlineStr">
        <is>
          <t>2003-04-04</t>
        </is>
      </c>
      <c r="W961" t="inlineStr">
        <is>
          <t>1998-06-11</t>
        </is>
      </c>
      <c r="X961" t="inlineStr">
        <is>
          <t>1998-06-11</t>
        </is>
      </c>
      <c r="Y961" t="n">
        <v>444</v>
      </c>
      <c r="Z961" t="n">
        <v>376</v>
      </c>
      <c r="AA961" t="n">
        <v>404</v>
      </c>
      <c r="AB961" t="n">
        <v>4</v>
      </c>
      <c r="AC961" t="n">
        <v>4</v>
      </c>
      <c r="AD961" t="n">
        <v>19</v>
      </c>
      <c r="AE961" t="n">
        <v>21</v>
      </c>
      <c r="AF961" t="n">
        <v>6</v>
      </c>
      <c r="AG961" t="n">
        <v>6</v>
      </c>
      <c r="AH961" t="n">
        <v>5</v>
      </c>
      <c r="AI961" t="n">
        <v>5</v>
      </c>
      <c r="AJ961" t="n">
        <v>10</v>
      </c>
      <c r="AK961" t="n">
        <v>12</v>
      </c>
      <c r="AL961" t="n">
        <v>3</v>
      </c>
      <c r="AM961" t="n">
        <v>3</v>
      </c>
      <c r="AN961" t="n">
        <v>1</v>
      </c>
      <c r="AO961" t="n">
        <v>1</v>
      </c>
      <c r="AP961" t="inlineStr">
        <is>
          <t>No</t>
        </is>
      </c>
      <c r="AQ961" t="inlineStr">
        <is>
          <t>No</t>
        </is>
      </c>
      <c r="AS961">
        <f>HYPERLINK("https://creighton-primo.hosted.exlibrisgroup.com/primo-explore/search?tab=default_tab&amp;search_scope=EVERYTHING&amp;vid=01CRU&amp;lang=en_US&amp;offset=0&amp;query=any,contains,991002878839702656","Catalog Record")</f>
        <v/>
      </c>
      <c r="AT961">
        <f>HYPERLINK("http://www.worldcat.org/oclc/37935184","WorldCat Record")</f>
        <v/>
      </c>
      <c r="AU961" t="inlineStr">
        <is>
          <t>837022508:eng</t>
        </is>
      </c>
      <c r="AV961" t="inlineStr">
        <is>
          <t>37935184</t>
        </is>
      </c>
      <c r="AW961" t="inlineStr">
        <is>
          <t>991002878839702656</t>
        </is>
      </c>
      <c r="AX961" t="inlineStr">
        <is>
          <t>991002878839702656</t>
        </is>
      </c>
      <c r="AY961" t="inlineStr">
        <is>
          <t>2266198940002656</t>
        </is>
      </c>
      <c r="AZ961" t="inlineStr">
        <is>
          <t>BOOK</t>
        </is>
      </c>
      <c r="BB961" t="inlineStr">
        <is>
          <t>9780815775843</t>
        </is>
      </c>
      <c r="BC961" t="inlineStr">
        <is>
          <t>32285003420261</t>
        </is>
      </c>
      <c r="BD961" t="inlineStr">
        <is>
          <t>893685894</t>
        </is>
      </c>
    </row>
    <row r="962">
      <c r="A962" t="inlineStr">
        <is>
          <t>No</t>
        </is>
      </c>
      <c r="B962" t="inlineStr">
        <is>
          <t>HV7165.5 .S65 2007</t>
        </is>
      </c>
      <c r="C962" t="inlineStr">
        <is>
          <t>0                      HV 7165500S  65          2007</t>
        </is>
      </c>
      <c r="D962" t="inlineStr">
        <is>
          <t>A culture of corruption : everyday deception and popular discontent in Nigeria / Daniel Jordan Smith.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Smith, Daniel Jordan, 1961-</t>
        </is>
      </c>
      <c r="L962" t="inlineStr">
        <is>
          <t>Princeton : Princeton University Press, c2007.</t>
        </is>
      </c>
      <c r="M962" t="inlineStr">
        <is>
          <t>2007</t>
        </is>
      </c>
      <c r="O962" t="inlineStr">
        <is>
          <t>eng</t>
        </is>
      </c>
      <c r="P962" t="inlineStr">
        <is>
          <t>nju</t>
        </is>
      </c>
      <c r="R962" t="inlineStr">
        <is>
          <t xml:space="preserve">HV </t>
        </is>
      </c>
      <c r="S962" t="n">
        <v>3</v>
      </c>
      <c r="T962" t="n">
        <v>3</v>
      </c>
      <c r="U962" t="inlineStr">
        <is>
          <t>2010-05-14</t>
        </is>
      </c>
      <c r="V962" t="inlineStr">
        <is>
          <t>2010-05-14</t>
        </is>
      </c>
      <c r="W962" t="inlineStr">
        <is>
          <t>2009-04-14</t>
        </is>
      </c>
      <c r="X962" t="inlineStr">
        <is>
          <t>2009-04-14</t>
        </is>
      </c>
      <c r="Y962" t="n">
        <v>484</v>
      </c>
      <c r="Z962" t="n">
        <v>373</v>
      </c>
      <c r="AA962" t="n">
        <v>605</v>
      </c>
      <c r="AB962" t="n">
        <v>2</v>
      </c>
      <c r="AC962" t="n">
        <v>2</v>
      </c>
      <c r="AD962" t="n">
        <v>17</v>
      </c>
      <c r="AE962" t="n">
        <v>28</v>
      </c>
      <c r="AF962" t="n">
        <v>5</v>
      </c>
      <c r="AG962" t="n">
        <v>11</v>
      </c>
      <c r="AH962" t="n">
        <v>7</v>
      </c>
      <c r="AI962" t="n">
        <v>9</v>
      </c>
      <c r="AJ962" t="n">
        <v>9</v>
      </c>
      <c r="AK962" t="n">
        <v>14</v>
      </c>
      <c r="AL962" t="n">
        <v>1</v>
      </c>
      <c r="AM962" t="n">
        <v>1</v>
      </c>
      <c r="AN962" t="n">
        <v>0</v>
      </c>
      <c r="AO962" t="n">
        <v>1</v>
      </c>
      <c r="AP962" t="inlineStr">
        <is>
          <t>No</t>
        </is>
      </c>
      <c r="AQ962" t="inlineStr">
        <is>
          <t>No</t>
        </is>
      </c>
      <c r="AS962">
        <f>HYPERLINK("https://creighton-primo.hosted.exlibrisgroup.com/primo-explore/search?tab=default_tab&amp;search_scope=EVERYTHING&amp;vid=01CRU&amp;lang=en_US&amp;offset=0&amp;query=any,contains,991005304679702656","Catalog Record")</f>
        <v/>
      </c>
      <c r="AT962">
        <f>HYPERLINK("http://www.worldcat.org/oclc/64427469","WorldCat Record")</f>
        <v/>
      </c>
      <c r="AU962" t="inlineStr">
        <is>
          <t>837069891:eng</t>
        </is>
      </c>
      <c r="AV962" t="inlineStr">
        <is>
          <t>64427469</t>
        </is>
      </c>
      <c r="AW962" t="inlineStr">
        <is>
          <t>991005304679702656</t>
        </is>
      </c>
      <c r="AX962" t="inlineStr">
        <is>
          <t>991005304679702656</t>
        </is>
      </c>
      <c r="AY962" t="inlineStr">
        <is>
          <t>2255978650002656</t>
        </is>
      </c>
      <c r="AZ962" t="inlineStr">
        <is>
          <t>BOOK</t>
        </is>
      </c>
      <c r="BB962" t="inlineStr">
        <is>
          <t>9780691127224</t>
        </is>
      </c>
      <c r="BC962" t="inlineStr">
        <is>
          <t>32285005514947</t>
        </is>
      </c>
      <c r="BD962" t="inlineStr">
        <is>
          <t>893619774</t>
        </is>
      </c>
    </row>
    <row r="963">
      <c r="A963" t="inlineStr">
        <is>
          <t>No</t>
        </is>
      </c>
      <c r="B963" t="inlineStr">
        <is>
          <t>HV741 .B315 1999</t>
        </is>
      </c>
      <c r="C963" t="inlineStr">
        <is>
          <t>0                      HV 0741000B  315         1999</t>
        </is>
      </c>
      <c r="D963" t="inlineStr">
        <is>
          <t>Nobody's children : abuse and neglect, foster drift, and the adoption alternative / Elizabeth Bartholet.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Bartholet, Elizabeth.</t>
        </is>
      </c>
      <c r="L963" t="inlineStr">
        <is>
          <t>Boston : Beacon Press, c1999.</t>
        </is>
      </c>
      <c r="M963" t="inlineStr">
        <is>
          <t>1999</t>
        </is>
      </c>
      <c r="O963" t="inlineStr">
        <is>
          <t>eng</t>
        </is>
      </c>
      <c r="P963" t="inlineStr">
        <is>
          <t>mau</t>
        </is>
      </c>
      <c r="R963" t="inlineStr">
        <is>
          <t xml:space="preserve">HV </t>
        </is>
      </c>
      <c r="S963" t="n">
        <v>7</v>
      </c>
      <c r="T963" t="n">
        <v>7</v>
      </c>
      <c r="U963" t="inlineStr">
        <is>
          <t>2007-03-17</t>
        </is>
      </c>
      <c r="V963" t="inlineStr">
        <is>
          <t>2007-03-17</t>
        </is>
      </c>
      <c r="W963" t="inlineStr">
        <is>
          <t>2000-09-12</t>
        </is>
      </c>
      <c r="X963" t="inlineStr">
        <is>
          <t>2000-09-12</t>
        </is>
      </c>
      <c r="Y963" t="n">
        <v>1100</v>
      </c>
      <c r="Z963" t="n">
        <v>1036</v>
      </c>
      <c r="AA963" t="n">
        <v>1068</v>
      </c>
      <c r="AB963" t="n">
        <v>7</v>
      </c>
      <c r="AC963" t="n">
        <v>7</v>
      </c>
      <c r="AD963" t="n">
        <v>39</v>
      </c>
      <c r="AE963" t="n">
        <v>39</v>
      </c>
      <c r="AF963" t="n">
        <v>13</v>
      </c>
      <c r="AG963" t="n">
        <v>13</v>
      </c>
      <c r="AH963" t="n">
        <v>4</v>
      </c>
      <c r="AI963" t="n">
        <v>4</v>
      </c>
      <c r="AJ963" t="n">
        <v>14</v>
      </c>
      <c r="AK963" t="n">
        <v>14</v>
      </c>
      <c r="AL963" t="n">
        <v>6</v>
      </c>
      <c r="AM963" t="n">
        <v>6</v>
      </c>
      <c r="AN963" t="n">
        <v>7</v>
      </c>
      <c r="AO963" t="n">
        <v>7</v>
      </c>
      <c r="AP963" t="inlineStr">
        <is>
          <t>No</t>
        </is>
      </c>
      <c r="AQ963" t="inlineStr">
        <is>
          <t>Yes</t>
        </is>
      </c>
      <c r="AR963">
        <f>HYPERLINK("http://catalog.hathitrust.org/Record/004053163","HathiTrust Record")</f>
        <v/>
      </c>
      <c r="AS963">
        <f>HYPERLINK("https://creighton-primo.hosted.exlibrisgroup.com/primo-explore/search?tab=default_tab&amp;search_scope=EVERYTHING&amp;vid=01CRU&amp;lang=en_US&amp;offset=0&amp;query=any,contains,991003239379702656","Catalog Record")</f>
        <v/>
      </c>
      <c r="AT963">
        <f>HYPERLINK("http://www.worldcat.org/oclc/41039845","WorldCat Record")</f>
        <v/>
      </c>
      <c r="AU963" t="inlineStr">
        <is>
          <t>961158:eng</t>
        </is>
      </c>
      <c r="AV963" t="inlineStr">
        <is>
          <t>41039845</t>
        </is>
      </c>
      <c r="AW963" t="inlineStr">
        <is>
          <t>991003239379702656</t>
        </is>
      </c>
      <c r="AX963" t="inlineStr">
        <is>
          <t>991003239379702656</t>
        </is>
      </c>
      <c r="AY963" t="inlineStr">
        <is>
          <t>2260396190002656</t>
        </is>
      </c>
      <c r="AZ963" t="inlineStr">
        <is>
          <t>BOOK</t>
        </is>
      </c>
      <c r="BB963" t="inlineStr">
        <is>
          <t>9780807023181</t>
        </is>
      </c>
      <c r="BC963" t="inlineStr">
        <is>
          <t>32285003761458</t>
        </is>
      </c>
      <c r="BD963" t="inlineStr">
        <is>
          <t>893617133</t>
        </is>
      </c>
    </row>
    <row r="964">
      <c r="A964" t="inlineStr">
        <is>
          <t>No</t>
        </is>
      </c>
      <c r="B964" t="inlineStr">
        <is>
          <t>HV741 .B33 1980</t>
        </is>
      </c>
      <c r="C964" t="inlineStr">
        <is>
          <t>0                      HV 0741000B  33          1980</t>
        </is>
      </c>
      <c r="D964" t="inlineStr">
        <is>
          <t>The Battered child / edited by C. Henry Kempe and Ray E. Helfer.</t>
        </is>
      </c>
      <c r="F964" t="inlineStr">
        <is>
          <t>No</t>
        </is>
      </c>
      <c r="G964" t="inlineStr">
        <is>
          <t>1</t>
        </is>
      </c>
      <c r="H964" t="inlineStr">
        <is>
          <t>Yes</t>
        </is>
      </c>
      <c r="I964" t="inlineStr">
        <is>
          <t>Yes</t>
        </is>
      </c>
      <c r="J964" t="inlineStr">
        <is>
          <t>0</t>
        </is>
      </c>
      <c r="L964" t="inlineStr">
        <is>
          <t>Chicago : University of Chicago Press, 1980.</t>
        </is>
      </c>
      <c r="M964" t="inlineStr">
        <is>
          <t>1980</t>
        </is>
      </c>
      <c r="N964" t="inlineStr">
        <is>
          <t>3d ed., rev. and expanded.</t>
        </is>
      </c>
      <c r="O964" t="inlineStr">
        <is>
          <t>eng</t>
        </is>
      </c>
      <c r="P964" t="inlineStr">
        <is>
          <t>ilu</t>
        </is>
      </c>
      <c r="R964" t="inlineStr">
        <is>
          <t xml:space="preserve">HV </t>
        </is>
      </c>
      <c r="S964" t="n">
        <v>7</v>
      </c>
      <c r="T964" t="n">
        <v>7</v>
      </c>
      <c r="U964" t="inlineStr">
        <is>
          <t>2004-11-15</t>
        </is>
      </c>
      <c r="V964" t="inlineStr">
        <is>
          <t>2004-11-15</t>
        </is>
      </c>
      <c r="W964" t="inlineStr">
        <is>
          <t>1993-05-18</t>
        </is>
      </c>
      <c r="X964" t="inlineStr">
        <is>
          <t>1993-05-18</t>
        </is>
      </c>
      <c r="Y964" t="n">
        <v>932</v>
      </c>
      <c r="Z964" t="n">
        <v>783</v>
      </c>
      <c r="AA964" t="n">
        <v>2030</v>
      </c>
      <c r="AB964" t="n">
        <v>9</v>
      </c>
      <c r="AC964" t="n">
        <v>20</v>
      </c>
      <c r="AD964" t="n">
        <v>22</v>
      </c>
      <c r="AE964" t="n">
        <v>71</v>
      </c>
      <c r="AF964" t="n">
        <v>7</v>
      </c>
      <c r="AG964" t="n">
        <v>20</v>
      </c>
      <c r="AH964" t="n">
        <v>3</v>
      </c>
      <c r="AI964" t="n">
        <v>9</v>
      </c>
      <c r="AJ964" t="n">
        <v>6</v>
      </c>
      <c r="AK964" t="n">
        <v>23</v>
      </c>
      <c r="AL964" t="n">
        <v>5</v>
      </c>
      <c r="AM964" t="n">
        <v>10</v>
      </c>
      <c r="AN964" t="n">
        <v>5</v>
      </c>
      <c r="AO964" t="n">
        <v>20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HYPERLINK("https://creighton-primo.hosted.exlibrisgroup.com/primo-explore/search?tab=default_tab&amp;search_scope=EVERYTHING&amp;vid=01CRU&amp;lang=en_US&amp;offset=0&amp;query=any,contains,991001616149702656","Catalog Record")</f>
        <v/>
      </c>
      <c r="AT964">
        <f>HYPERLINK("http://www.worldcat.org/oclc/6250713","WorldCat Record")</f>
        <v/>
      </c>
      <c r="AU964" t="inlineStr">
        <is>
          <t>1090968757:eng</t>
        </is>
      </c>
      <c r="AV964" t="inlineStr">
        <is>
          <t>6250713</t>
        </is>
      </c>
      <c r="AW964" t="inlineStr">
        <is>
          <t>991001616149702656</t>
        </is>
      </c>
      <c r="AX964" t="inlineStr">
        <is>
          <t>991001616149702656</t>
        </is>
      </c>
      <c r="AY964" t="inlineStr">
        <is>
          <t>2264865790002656</t>
        </is>
      </c>
      <c r="AZ964" t="inlineStr">
        <is>
          <t>BOOK</t>
        </is>
      </c>
      <c r="BB964" t="inlineStr">
        <is>
          <t>9780226430386</t>
        </is>
      </c>
      <c r="BC964" t="inlineStr">
        <is>
          <t>32285001682318</t>
        </is>
      </c>
      <c r="BD964" t="inlineStr">
        <is>
          <t>893772696</t>
        </is>
      </c>
    </row>
    <row r="965">
      <c r="A965" t="inlineStr">
        <is>
          <t>No</t>
        </is>
      </c>
      <c r="B965" t="inlineStr">
        <is>
          <t>HV741 .B377 1982</t>
        </is>
      </c>
      <c r="C965" t="inlineStr">
        <is>
          <t>0                      HV 0741000B  377         1982</t>
        </is>
      </c>
      <c r="D965" t="inlineStr">
        <is>
          <t>An investigation of child abuse/neglect instruction offered in early childhood and elementary education preservice programs / Patricia Maxey Bartlett.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Bartlett, Patricia Maxey.</t>
        </is>
      </c>
      <c r="L965" t="inlineStr">
        <is>
          <t>Palo Alto, Calif. : R &amp; E Associates, c1982.</t>
        </is>
      </c>
      <c r="M965" t="inlineStr">
        <is>
          <t>1982</t>
        </is>
      </c>
      <c r="O965" t="inlineStr">
        <is>
          <t>eng</t>
        </is>
      </c>
      <c r="P965" t="inlineStr">
        <is>
          <t>cau</t>
        </is>
      </c>
      <c r="R965" t="inlineStr">
        <is>
          <t xml:space="preserve">HV </t>
        </is>
      </c>
      <c r="S965" t="n">
        <v>5</v>
      </c>
      <c r="T965" t="n">
        <v>5</v>
      </c>
      <c r="U965" t="inlineStr">
        <is>
          <t>2007-05-07</t>
        </is>
      </c>
      <c r="V965" t="inlineStr">
        <is>
          <t>2007-05-07</t>
        </is>
      </c>
      <c r="W965" t="inlineStr">
        <is>
          <t>1990-04-23</t>
        </is>
      </c>
      <c r="X965" t="inlineStr">
        <is>
          <t>1990-04-23</t>
        </is>
      </c>
      <c r="Y965" t="n">
        <v>185</v>
      </c>
      <c r="Z965" t="n">
        <v>159</v>
      </c>
      <c r="AA965" t="n">
        <v>159</v>
      </c>
      <c r="AB965" t="n">
        <v>3</v>
      </c>
      <c r="AC965" t="n">
        <v>3</v>
      </c>
      <c r="AD965" t="n">
        <v>10</v>
      </c>
      <c r="AE965" t="n">
        <v>10</v>
      </c>
      <c r="AF965" t="n">
        <v>3</v>
      </c>
      <c r="AG965" t="n">
        <v>3</v>
      </c>
      <c r="AH965" t="n">
        <v>0</v>
      </c>
      <c r="AI965" t="n">
        <v>0</v>
      </c>
      <c r="AJ965" t="n">
        <v>5</v>
      </c>
      <c r="AK965" t="n">
        <v>5</v>
      </c>
      <c r="AL965" t="n">
        <v>2</v>
      </c>
      <c r="AM965" t="n">
        <v>2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HYPERLINK("https://creighton-primo.hosted.exlibrisgroup.com/primo-explore/search?tab=default_tab&amp;search_scope=EVERYTHING&amp;vid=01CRU&amp;lang=en_US&amp;offset=0&amp;query=any,contains,991000053169702656","Catalog Record")</f>
        <v/>
      </c>
      <c r="AT965">
        <f>HYPERLINK("http://www.worldcat.org/oclc/8690466","WorldCat Record")</f>
        <v/>
      </c>
      <c r="AU965" t="inlineStr">
        <is>
          <t>541992:eng</t>
        </is>
      </c>
      <c r="AV965" t="inlineStr">
        <is>
          <t>8690466</t>
        </is>
      </c>
      <c r="AW965" t="inlineStr">
        <is>
          <t>991000053169702656</t>
        </is>
      </c>
      <c r="AX965" t="inlineStr">
        <is>
          <t>991000053169702656</t>
        </is>
      </c>
      <c r="AY965" t="inlineStr">
        <is>
          <t>2266581780002656</t>
        </is>
      </c>
      <c r="AZ965" t="inlineStr">
        <is>
          <t>BOOK</t>
        </is>
      </c>
      <c r="BB965" t="inlineStr">
        <is>
          <t>9780882476315</t>
        </is>
      </c>
      <c r="BC965" t="inlineStr">
        <is>
          <t>32285000130806</t>
        </is>
      </c>
      <c r="BD965" t="inlineStr">
        <is>
          <t>893255134</t>
        </is>
      </c>
    </row>
    <row r="966">
      <c r="A966" t="inlineStr">
        <is>
          <t>No</t>
        </is>
      </c>
      <c r="B966" t="inlineStr">
        <is>
          <t>HV741 .B487 2005</t>
        </is>
      </c>
      <c r="C966" t="inlineStr">
        <is>
          <t>0                      HV 0741000B  487         2005</t>
        </is>
      </c>
      <c r="D966" t="inlineStr">
        <is>
          <t>Beyond common sense : child welfare, child well-being, and the evidence for policy reform / Fred Wulczyn ... [et al.].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L966" t="inlineStr">
        <is>
          <t>New Brunswick, N.J. : AldineTransaction, c2005.</t>
        </is>
      </c>
      <c r="M966" t="inlineStr">
        <is>
          <t>2005</t>
        </is>
      </c>
      <c r="O966" t="inlineStr">
        <is>
          <t>eng</t>
        </is>
      </c>
      <c r="P966" t="inlineStr">
        <is>
          <t>nju</t>
        </is>
      </c>
      <c r="R966" t="inlineStr">
        <is>
          <t xml:space="preserve">HV </t>
        </is>
      </c>
      <c r="S966" t="n">
        <v>1</v>
      </c>
      <c r="T966" t="n">
        <v>1</v>
      </c>
      <c r="U966" t="inlineStr">
        <is>
          <t>2007-11-15</t>
        </is>
      </c>
      <c r="V966" t="inlineStr">
        <is>
          <t>2007-11-15</t>
        </is>
      </c>
      <c r="W966" t="inlineStr">
        <is>
          <t>2007-11-15</t>
        </is>
      </c>
      <c r="X966" t="inlineStr">
        <is>
          <t>2007-11-15</t>
        </is>
      </c>
      <c r="Y966" t="n">
        <v>295</v>
      </c>
      <c r="Z966" t="n">
        <v>264</v>
      </c>
      <c r="AA966" t="n">
        <v>288</v>
      </c>
      <c r="AB966" t="n">
        <v>4</v>
      </c>
      <c r="AC966" t="n">
        <v>4</v>
      </c>
      <c r="AD966" t="n">
        <v>13</v>
      </c>
      <c r="AE966" t="n">
        <v>13</v>
      </c>
      <c r="AF966" t="n">
        <v>3</v>
      </c>
      <c r="AG966" t="n">
        <v>3</v>
      </c>
      <c r="AH966" t="n">
        <v>3</v>
      </c>
      <c r="AI966" t="n">
        <v>3</v>
      </c>
      <c r="AJ966" t="n">
        <v>8</v>
      </c>
      <c r="AK966" t="n">
        <v>8</v>
      </c>
      <c r="AL966" t="n">
        <v>3</v>
      </c>
      <c r="AM966" t="n">
        <v>3</v>
      </c>
      <c r="AN966" t="n">
        <v>0</v>
      </c>
      <c r="AO966" t="n">
        <v>0</v>
      </c>
      <c r="AP966" t="inlineStr">
        <is>
          <t>No</t>
        </is>
      </c>
      <c r="AQ966" t="inlineStr">
        <is>
          <t>No</t>
        </is>
      </c>
      <c r="AS966">
        <f>HYPERLINK("https://creighton-primo.hosted.exlibrisgroup.com/primo-explore/search?tab=default_tab&amp;search_scope=EVERYTHING&amp;vid=01CRU&amp;lang=en_US&amp;offset=0&amp;query=any,contains,991005141149702656","Catalog Record")</f>
        <v/>
      </c>
      <c r="AT966">
        <f>HYPERLINK("http://www.worldcat.org/oclc/57211327","WorldCat Record")</f>
        <v/>
      </c>
      <c r="AU966" t="inlineStr">
        <is>
          <t>969877342:eng</t>
        </is>
      </c>
      <c r="AV966" t="inlineStr">
        <is>
          <t>57211327</t>
        </is>
      </c>
      <c r="AW966" t="inlineStr">
        <is>
          <t>991005141149702656</t>
        </is>
      </c>
      <c r="AX966" t="inlineStr">
        <is>
          <t>991005141149702656</t>
        </is>
      </c>
      <c r="AY966" t="inlineStr">
        <is>
          <t>2265163560002656</t>
        </is>
      </c>
      <c r="AZ966" t="inlineStr">
        <is>
          <t>BOOK</t>
        </is>
      </c>
      <c r="BB966" t="inlineStr">
        <is>
          <t>9780202307343</t>
        </is>
      </c>
      <c r="BC966" t="inlineStr">
        <is>
          <t>32285005367148</t>
        </is>
      </c>
      <c r="BD966" t="inlineStr">
        <is>
          <t>893533250</t>
        </is>
      </c>
    </row>
    <row r="967">
      <c r="A967" t="inlineStr">
        <is>
          <t>No</t>
        </is>
      </c>
      <c r="B967" t="inlineStr">
        <is>
          <t>HV741 .B693 1996</t>
        </is>
      </c>
      <c r="C967" t="inlineStr">
        <is>
          <t>0                      HV 0741000B  693         1996</t>
        </is>
      </c>
      <c r="D967" t="inlineStr">
        <is>
          <t>Deadbeat dads : a national child support scandal / Marcia Mobilia Boumil and Joel Friedman.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Boumil, Marcia Mobilia.</t>
        </is>
      </c>
      <c r="L967" t="inlineStr">
        <is>
          <t>Westport, Conn. : Praeger, 1996.</t>
        </is>
      </c>
      <c r="M967" t="inlineStr">
        <is>
          <t>1996</t>
        </is>
      </c>
      <c r="O967" t="inlineStr">
        <is>
          <t>eng</t>
        </is>
      </c>
      <c r="P967" t="inlineStr">
        <is>
          <t>ctu</t>
        </is>
      </c>
      <c r="R967" t="inlineStr">
        <is>
          <t xml:space="preserve">HV </t>
        </is>
      </c>
      <c r="S967" t="n">
        <v>3</v>
      </c>
      <c r="T967" t="n">
        <v>3</v>
      </c>
      <c r="U967" t="inlineStr">
        <is>
          <t>2005-09-13</t>
        </is>
      </c>
      <c r="V967" t="inlineStr">
        <is>
          <t>2005-09-13</t>
        </is>
      </c>
      <c r="W967" t="inlineStr">
        <is>
          <t>1996-07-01</t>
        </is>
      </c>
      <c r="X967" t="inlineStr">
        <is>
          <t>1996-07-01</t>
        </is>
      </c>
      <c r="Y967" t="n">
        <v>559</v>
      </c>
      <c r="Z967" t="n">
        <v>524</v>
      </c>
      <c r="AA967" t="n">
        <v>878</v>
      </c>
      <c r="AB967" t="n">
        <v>6</v>
      </c>
      <c r="AC967" t="n">
        <v>7</v>
      </c>
      <c r="AD967" t="n">
        <v>20</v>
      </c>
      <c r="AE967" t="n">
        <v>26</v>
      </c>
      <c r="AF967" t="n">
        <v>5</v>
      </c>
      <c r="AG967" t="n">
        <v>9</v>
      </c>
      <c r="AH967" t="n">
        <v>4</v>
      </c>
      <c r="AI967" t="n">
        <v>5</v>
      </c>
      <c r="AJ967" t="n">
        <v>9</v>
      </c>
      <c r="AK967" t="n">
        <v>11</v>
      </c>
      <c r="AL967" t="n">
        <v>5</v>
      </c>
      <c r="AM967" t="n">
        <v>6</v>
      </c>
      <c r="AN967" t="n">
        <v>2</v>
      </c>
      <c r="AO967" t="n">
        <v>2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HYPERLINK("http://catalog.hathitrust.org/Record/003048834","HathiTrust Record")</f>
        <v/>
      </c>
      <c r="AS967">
        <f>HYPERLINK("https://creighton-primo.hosted.exlibrisgroup.com/primo-explore/search?tab=default_tab&amp;search_scope=EVERYTHING&amp;vid=01CRU&amp;lang=en_US&amp;offset=0&amp;query=any,contains,991002527929702656","Catalog Record")</f>
        <v/>
      </c>
      <c r="AT967">
        <f>HYPERLINK("http://www.worldcat.org/oclc/32856364","WorldCat Record")</f>
        <v/>
      </c>
      <c r="AU967" t="inlineStr">
        <is>
          <t>803863527:eng</t>
        </is>
      </c>
      <c r="AV967" t="inlineStr">
        <is>
          <t>32856364</t>
        </is>
      </c>
      <c r="AW967" t="inlineStr">
        <is>
          <t>991002527929702656</t>
        </is>
      </c>
      <c r="AX967" t="inlineStr">
        <is>
          <t>991002527929702656</t>
        </is>
      </c>
      <c r="AY967" t="inlineStr">
        <is>
          <t>2271396250002656</t>
        </is>
      </c>
      <c r="AZ967" t="inlineStr">
        <is>
          <t>BOOK</t>
        </is>
      </c>
      <c r="BB967" t="inlineStr">
        <is>
          <t>9780275951252</t>
        </is>
      </c>
      <c r="BC967" t="inlineStr">
        <is>
          <t>32285002205267</t>
        </is>
      </c>
      <c r="BD967" t="inlineStr">
        <is>
          <t>893609959</t>
        </is>
      </c>
    </row>
    <row r="968">
      <c r="A968" t="inlineStr">
        <is>
          <t>No</t>
        </is>
      </c>
      <c r="B968" t="inlineStr">
        <is>
          <t>HV741 .B88 2004</t>
        </is>
      </c>
      <c r="C968" t="inlineStr">
        <is>
          <t>0                      HV 0741000B  88          2004</t>
        </is>
      </c>
      <c r="D968" t="inlineStr">
        <is>
          <t>Head Start : background, issues, and bibliography / Alice Butler, Melinda Gish, and Marnie S. Shaul.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Butler, Alice.</t>
        </is>
      </c>
      <c r="L968" t="inlineStr">
        <is>
          <t>New York : Novinka Books, c2004.</t>
        </is>
      </c>
      <c r="M968" t="inlineStr">
        <is>
          <t>2004</t>
        </is>
      </c>
      <c r="O968" t="inlineStr">
        <is>
          <t>eng</t>
        </is>
      </c>
      <c r="P968" t="inlineStr">
        <is>
          <t>nyu</t>
        </is>
      </c>
      <c r="R968" t="inlineStr">
        <is>
          <t xml:space="preserve">HV </t>
        </is>
      </c>
      <c r="S968" t="n">
        <v>3</v>
      </c>
      <c r="T968" t="n">
        <v>3</v>
      </c>
      <c r="U968" t="inlineStr">
        <is>
          <t>2007-05-07</t>
        </is>
      </c>
      <c r="V968" t="inlineStr">
        <is>
          <t>2007-05-07</t>
        </is>
      </c>
      <c r="W968" t="inlineStr">
        <is>
          <t>2004-08-17</t>
        </is>
      </c>
      <c r="X968" t="inlineStr">
        <is>
          <t>2004-08-17</t>
        </is>
      </c>
      <c r="Y968" t="n">
        <v>128</v>
      </c>
      <c r="Z968" t="n">
        <v>115</v>
      </c>
      <c r="AA968" t="n">
        <v>122</v>
      </c>
      <c r="AB968" t="n">
        <v>2</v>
      </c>
      <c r="AC968" t="n">
        <v>2</v>
      </c>
      <c r="AD968" t="n">
        <v>7</v>
      </c>
      <c r="AE968" t="n">
        <v>7</v>
      </c>
      <c r="AF968" t="n">
        <v>2</v>
      </c>
      <c r="AG968" t="n">
        <v>2</v>
      </c>
      <c r="AH968" t="n">
        <v>2</v>
      </c>
      <c r="AI968" t="n">
        <v>2</v>
      </c>
      <c r="AJ968" t="n">
        <v>4</v>
      </c>
      <c r="AK968" t="n">
        <v>4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HYPERLINK("https://creighton-primo.hosted.exlibrisgroup.com/primo-explore/search?tab=default_tab&amp;search_scope=EVERYTHING&amp;vid=01CRU&amp;lang=en_US&amp;offset=0&amp;query=any,contains,991004330399702656","Catalog Record")</f>
        <v/>
      </c>
      <c r="AT968">
        <f>HYPERLINK("http://www.worldcat.org/oclc/55108945","WorldCat Record")</f>
        <v/>
      </c>
      <c r="AU968" t="inlineStr">
        <is>
          <t>1059336:eng</t>
        </is>
      </c>
      <c r="AV968" t="inlineStr">
        <is>
          <t>55108945</t>
        </is>
      </c>
      <c r="AW968" t="inlineStr">
        <is>
          <t>991004330399702656</t>
        </is>
      </c>
      <c r="AX968" t="inlineStr">
        <is>
          <t>991004330399702656</t>
        </is>
      </c>
      <c r="AY968" t="inlineStr">
        <is>
          <t>2269853540002656</t>
        </is>
      </c>
      <c r="AZ968" t="inlineStr">
        <is>
          <t>BOOK</t>
        </is>
      </c>
      <c r="BB968" t="inlineStr">
        <is>
          <t>9781590339879</t>
        </is>
      </c>
      <c r="BC968" t="inlineStr">
        <is>
          <t>32285004981766</t>
        </is>
      </c>
      <c r="BD968" t="inlineStr">
        <is>
          <t>893788569</t>
        </is>
      </c>
    </row>
    <row r="969">
      <c r="A969" t="inlineStr">
        <is>
          <t>No</t>
        </is>
      </c>
      <c r="B969" t="inlineStr">
        <is>
          <t>HV741 .C452 1982</t>
        </is>
      </c>
      <c r="C969" t="inlineStr">
        <is>
          <t>0                      HV 0741000C  452         1982</t>
        </is>
      </c>
      <c r="D969" t="inlineStr">
        <is>
          <t>Child abuse and child protection : policy and practice / Stephen Antler, editor.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L969" t="inlineStr">
        <is>
          <t>Silver Spring, Md. : National Association of Social Workers, c1982.</t>
        </is>
      </c>
      <c r="M969" t="inlineStr">
        <is>
          <t>1982</t>
        </is>
      </c>
      <c r="O969" t="inlineStr">
        <is>
          <t>eng</t>
        </is>
      </c>
      <c r="P969" t="inlineStr">
        <is>
          <t>mdu</t>
        </is>
      </c>
      <c r="Q969" t="inlineStr">
        <is>
          <t>Readings in social work series</t>
        </is>
      </c>
      <c r="R969" t="inlineStr">
        <is>
          <t xml:space="preserve">HV </t>
        </is>
      </c>
      <c r="S969" t="n">
        <v>17</v>
      </c>
      <c r="T969" t="n">
        <v>17</v>
      </c>
      <c r="U969" t="inlineStr">
        <is>
          <t>2000-02-06</t>
        </is>
      </c>
      <c r="V969" t="inlineStr">
        <is>
          <t>2000-02-06</t>
        </is>
      </c>
      <c r="W969" t="inlineStr">
        <is>
          <t>1991-12-09</t>
        </is>
      </c>
      <c r="X969" t="inlineStr">
        <is>
          <t>1991-12-09</t>
        </is>
      </c>
      <c r="Y969" t="n">
        <v>348</v>
      </c>
      <c r="Z969" t="n">
        <v>303</v>
      </c>
      <c r="AA969" t="n">
        <v>311</v>
      </c>
      <c r="AB969" t="n">
        <v>8</v>
      </c>
      <c r="AC969" t="n">
        <v>8</v>
      </c>
      <c r="AD969" t="n">
        <v>14</v>
      </c>
      <c r="AE969" t="n">
        <v>14</v>
      </c>
      <c r="AF969" t="n">
        <v>2</v>
      </c>
      <c r="AG969" t="n">
        <v>2</v>
      </c>
      <c r="AH969" t="n">
        <v>2</v>
      </c>
      <c r="AI969" t="n">
        <v>2</v>
      </c>
      <c r="AJ969" t="n">
        <v>4</v>
      </c>
      <c r="AK969" t="n">
        <v>4</v>
      </c>
      <c r="AL969" t="n">
        <v>6</v>
      </c>
      <c r="AM969" t="n">
        <v>6</v>
      </c>
      <c r="AN969" t="n">
        <v>2</v>
      </c>
      <c r="AO969" t="n">
        <v>2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HYPERLINK("http://catalog.hathitrust.org/Record/000189116","HathiTrust Record")</f>
        <v/>
      </c>
      <c r="AS969">
        <f>HYPERLINK("https://creighton-primo.hosted.exlibrisgroup.com/primo-explore/search?tab=default_tab&amp;search_scope=EVERYTHING&amp;vid=01CRU&amp;lang=en_US&amp;offset=0&amp;query=any,contains,991005247849702656","Catalog Record")</f>
        <v/>
      </c>
      <c r="AT969">
        <f>HYPERLINK("http://www.worldcat.org/oclc/8474621","WorldCat Record")</f>
        <v/>
      </c>
      <c r="AU969" t="inlineStr">
        <is>
          <t>54504344:eng</t>
        </is>
      </c>
      <c r="AV969" t="inlineStr">
        <is>
          <t>8474621</t>
        </is>
      </c>
      <c r="AW969" t="inlineStr">
        <is>
          <t>991005247849702656</t>
        </is>
      </c>
      <c r="AX969" t="inlineStr">
        <is>
          <t>991005247849702656</t>
        </is>
      </c>
      <c r="AY969" t="inlineStr">
        <is>
          <t>2257467070002656</t>
        </is>
      </c>
      <c r="AZ969" t="inlineStr">
        <is>
          <t>BOOK</t>
        </is>
      </c>
      <c r="BB969" t="inlineStr">
        <is>
          <t>9780871010919</t>
        </is>
      </c>
      <c r="BC969" t="inlineStr">
        <is>
          <t>32285000890045</t>
        </is>
      </c>
      <c r="BD969" t="inlineStr">
        <is>
          <t>893600880</t>
        </is>
      </c>
    </row>
    <row r="970">
      <c r="A970" t="inlineStr">
        <is>
          <t>No</t>
        </is>
      </c>
      <c r="B970" t="inlineStr">
        <is>
          <t>HV741 .C4527 1983</t>
        </is>
      </c>
      <c r="C970" t="inlineStr">
        <is>
          <t>0                      HV 0741000C  4527        1983</t>
        </is>
      </c>
      <c r="D970" t="inlineStr">
        <is>
          <t>Child abuse and neglect : a guide with case studies for treating the child and family / edited by Nancy B. Ebeling, Deborah A. Hill.</t>
        </is>
      </c>
      <c r="F970" t="inlineStr">
        <is>
          <t>No</t>
        </is>
      </c>
      <c r="G970" t="inlineStr">
        <is>
          <t>1</t>
        </is>
      </c>
      <c r="H970" t="inlineStr">
        <is>
          <t>Yes</t>
        </is>
      </c>
      <c r="I970" t="inlineStr">
        <is>
          <t>No</t>
        </is>
      </c>
      <c r="J970" t="inlineStr">
        <is>
          <t>0</t>
        </is>
      </c>
      <c r="L970" t="inlineStr">
        <is>
          <t>Boston : John Wright - PSG Inc., 1983.</t>
        </is>
      </c>
      <c r="M970" t="inlineStr">
        <is>
          <t>1983</t>
        </is>
      </c>
      <c r="O970" t="inlineStr">
        <is>
          <t>eng</t>
        </is>
      </c>
      <c r="P970" t="inlineStr">
        <is>
          <t>mau</t>
        </is>
      </c>
      <c r="R970" t="inlineStr">
        <is>
          <t xml:space="preserve">HV </t>
        </is>
      </c>
      <c r="S970" t="n">
        <v>14</v>
      </c>
      <c r="T970" t="n">
        <v>14</v>
      </c>
      <c r="U970" t="inlineStr">
        <is>
          <t>2000-02-06</t>
        </is>
      </c>
      <c r="V970" t="inlineStr">
        <is>
          <t>2000-02-06</t>
        </is>
      </c>
      <c r="W970" t="inlineStr">
        <is>
          <t>1990-03-08</t>
        </is>
      </c>
      <c r="X970" t="inlineStr">
        <is>
          <t>1990-03-08</t>
        </is>
      </c>
      <c r="Y970" t="n">
        <v>440</v>
      </c>
      <c r="Z970" t="n">
        <v>375</v>
      </c>
      <c r="AA970" t="n">
        <v>382</v>
      </c>
      <c r="AB970" t="n">
        <v>6</v>
      </c>
      <c r="AC970" t="n">
        <v>6</v>
      </c>
      <c r="AD970" t="n">
        <v>17</v>
      </c>
      <c r="AE970" t="n">
        <v>18</v>
      </c>
      <c r="AF970" t="n">
        <v>7</v>
      </c>
      <c r="AG970" t="n">
        <v>7</v>
      </c>
      <c r="AH970" t="n">
        <v>4</v>
      </c>
      <c r="AI970" t="n">
        <v>5</v>
      </c>
      <c r="AJ970" t="n">
        <v>6</v>
      </c>
      <c r="AK970" t="n">
        <v>6</v>
      </c>
      <c r="AL970" t="n">
        <v>4</v>
      </c>
      <c r="AM970" t="n">
        <v>4</v>
      </c>
      <c r="AN970" t="n">
        <v>0</v>
      </c>
      <c r="AO970" t="n">
        <v>0</v>
      </c>
      <c r="AP970" t="inlineStr">
        <is>
          <t>No</t>
        </is>
      </c>
      <c r="AQ970" t="inlineStr">
        <is>
          <t>Yes</t>
        </is>
      </c>
      <c r="AR970">
        <f>HYPERLINK("http://catalog.hathitrust.org/Record/000113329","HathiTrust Record")</f>
        <v/>
      </c>
      <c r="AS970">
        <f>HYPERLINK("https://creighton-primo.hosted.exlibrisgroup.com/primo-explore/search?tab=default_tab&amp;search_scope=EVERYTHING&amp;vid=01CRU&amp;lang=en_US&amp;offset=0&amp;query=any,contains,991000007199702656","Catalog Record")</f>
        <v/>
      </c>
      <c r="AT970">
        <f>HYPERLINK("http://www.worldcat.org/oclc/8532291","WorldCat Record")</f>
        <v/>
      </c>
      <c r="AU970" t="inlineStr">
        <is>
          <t>375319080:eng</t>
        </is>
      </c>
      <c r="AV970" t="inlineStr">
        <is>
          <t>8532291</t>
        </is>
      </c>
      <c r="AW970" t="inlineStr">
        <is>
          <t>991000007199702656</t>
        </is>
      </c>
      <c r="AX970" t="inlineStr">
        <is>
          <t>991000007199702656</t>
        </is>
      </c>
      <c r="AY970" t="inlineStr">
        <is>
          <t>2269227290002656</t>
        </is>
      </c>
      <c r="AZ970" t="inlineStr">
        <is>
          <t>BOOK</t>
        </is>
      </c>
      <c r="BB970" t="inlineStr">
        <is>
          <t>9780723670407</t>
        </is>
      </c>
      <c r="BC970" t="inlineStr">
        <is>
          <t>32285000078872</t>
        </is>
      </c>
      <c r="BD970" t="inlineStr">
        <is>
          <t>893871314</t>
        </is>
      </c>
    </row>
    <row r="971">
      <c r="A971" t="inlineStr">
        <is>
          <t>No</t>
        </is>
      </c>
      <c r="B971" t="inlineStr">
        <is>
          <t>HV741 .C458</t>
        </is>
      </c>
      <c r="C971" t="inlineStr">
        <is>
          <t>0                      HV 0741000C  458</t>
        </is>
      </c>
      <c r="D971" t="inlineStr">
        <is>
          <t>Child abuse : intervention and treatment / edited by Nancy B. Ebeling, Deborah A. Hill.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L971" t="inlineStr">
        <is>
          <t>Acton, Mass. : Publishing Sciences Group, c1975.</t>
        </is>
      </c>
      <c r="M971" t="inlineStr">
        <is>
          <t>1975</t>
        </is>
      </c>
      <c r="O971" t="inlineStr">
        <is>
          <t>eng</t>
        </is>
      </c>
      <c r="P971" t="inlineStr">
        <is>
          <t>mau</t>
        </is>
      </c>
      <c r="R971" t="inlineStr">
        <is>
          <t xml:space="preserve">HV </t>
        </is>
      </c>
      <c r="S971" t="n">
        <v>6</v>
      </c>
      <c r="T971" t="n">
        <v>6</v>
      </c>
      <c r="U971" t="inlineStr">
        <is>
          <t>1997-03-27</t>
        </is>
      </c>
      <c r="V971" t="inlineStr">
        <is>
          <t>1997-03-27</t>
        </is>
      </c>
      <c r="W971" t="inlineStr">
        <is>
          <t>1990-03-12</t>
        </is>
      </c>
      <c r="X971" t="inlineStr">
        <is>
          <t>1990-03-12</t>
        </is>
      </c>
      <c r="Y971" t="n">
        <v>737</v>
      </c>
      <c r="Z971" t="n">
        <v>638</v>
      </c>
      <c r="AA971" t="n">
        <v>646</v>
      </c>
      <c r="AB971" t="n">
        <v>7</v>
      </c>
      <c r="AC971" t="n">
        <v>7</v>
      </c>
      <c r="AD971" t="n">
        <v>23</v>
      </c>
      <c r="AE971" t="n">
        <v>23</v>
      </c>
      <c r="AF971" t="n">
        <v>6</v>
      </c>
      <c r="AG971" t="n">
        <v>6</v>
      </c>
      <c r="AH971" t="n">
        <v>6</v>
      </c>
      <c r="AI971" t="n">
        <v>6</v>
      </c>
      <c r="AJ971" t="n">
        <v>8</v>
      </c>
      <c r="AK971" t="n">
        <v>8</v>
      </c>
      <c r="AL971" t="n">
        <v>5</v>
      </c>
      <c r="AM971" t="n">
        <v>5</v>
      </c>
      <c r="AN971" t="n">
        <v>3</v>
      </c>
      <c r="AO971" t="n">
        <v>3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HYPERLINK("http://catalog.hathitrust.org/Record/000037613","HathiTrust Record")</f>
        <v/>
      </c>
      <c r="AS971">
        <f>HYPERLINK("https://creighton-primo.hosted.exlibrisgroup.com/primo-explore/search?tab=default_tab&amp;search_scope=EVERYTHING&amp;vid=01CRU&amp;lang=en_US&amp;offset=0&amp;query=any,contains,991003699389702656","Catalog Record")</f>
        <v/>
      </c>
      <c r="AT971">
        <f>HYPERLINK("http://www.worldcat.org/oclc/1334483","WorldCat Record")</f>
        <v/>
      </c>
      <c r="AU971" t="inlineStr">
        <is>
          <t>984841558:eng</t>
        </is>
      </c>
      <c r="AV971" t="inlineStr">
        <is>
          <t>1334483</t>
        </is>
      </c>
      <c r="AW971" t="inlineStr">
        <is>
          <t>991003699389702656</t>
        </is>
      </c>
      <c r="AX971" t="inlineStr">
        <is>
          <t>991003699389702656</t>
        </is>
      </c>
      <c r="AY971" t="inlineStr">
        <is>
          <t>2258633390002656</t>
        </is>
      </c>
      <c r="AZ971" t="inlineStr">
        <is>
          <t>BOOK</t>
        </is>
      </c>
      <c r="BB971" t="inlineStr">
        <is>
          <t>9780884160267</t>
        </is>
      </c>
      <c r="BC971" t="inlineStr">
        <is>
          <t>32285000081660</t>
        </is>
      </c>
      <c r="BD971" t="inlineStr">
        <is>
          <t>893793928</t>
        </is>
      </c>
    </row>
    <row r="972">
      <c r="A972" t="inlineStr">
        <is>
          <t>No</t>
        </is>
      </c>
      <c r="B972" t="inlineStr">
        <is>
          <t>HV741 .C4598 1982</t>
        </is>
      </c>
      <c r="C972" t="inlineStr">
        <is>
          <t>0                      HV 0741000C  4598        1982</t>
        </is>
      </c>
      <c r="D972" t="inlineStr">
        <is>
          <t>Child abuse prediction : policy implications / edited by Raymond H. Starr, Jr.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L972" t="inlineStr">
        <is>
          <t>Cambridge, MA : Ballinger, c1982.</t>
        </is>
      </c>
      <c r="M972" t="inlineStr">
        <is>
          <t>1982</t>
        </is>
      </c>
      <c r="O972" t="inlineStr">
        <is>
          <t>eng</t>
        </is>
      </c>
      <c r="P972" t="inlineStr">
        <is>
          <t>mau</t>
        </is>
      </c>
      <c r="R972" t="inlineStr">
        <is>
          <t xml:space="preserve">HV </t>
        </is>
      </c>
      <c r="S972" t="n">
        <v>6</v>
      </c>
      <c r="T972" t="n">
        <v>6</v>
      </c>
      <c r="U972" t="inlineStr">
        <is>
          <t>1994-09-28</t>
        </is>
      </c>
      <c r="V972" t="inlineStr">
        <is>
          <t>1994-09-28</t>
        </is>
      </c>
      <c r="W972" t="inlineStr">
        <is>
          <t>1992-11-30</t>
        </is>
      </c>
      <c r="X972" t="inlineStr">
        <is>
          <t>1992-11-30</t>
        </is>
      </c>
      <c r="Y972" t="n">
        <v>303</v>
      </c>
      <c r="Z972" t="n">
        <v>246</v>
      </c>
      <c r="AA972" t="n">
        <v>253</v>
      </c>
      <c r="AB972" t="n">
        <v>3</v>
      </c>
      <c r="AC972" t="n">
        <v>3</v>
      </c>
      <c r="AD972" t="n">
        <v>9</v>
      </c>
      <c r="AE972" t="n">
        <v>9</v>
      </c>
      <c r="AF972" t="n">
        <v>3</v>
      </c>
      <c r="AG972" t="n">
        <v>3</v>
      </c>
      <c r="AH972" t="n">
        <v>1</v>
      </c>
      <c r="AI972" t="n">
        <v>1</v>
      </c>
      <c r="AJ972" t="n">
        <v>5</v>
      </c>
      <c r="AK972" t="n">
        <v>5</v>
      </c>
      <c r="AL972" t="n">
        <v>2</v>
      </c>
      <c r="AM972" t="n">
        <v>2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HYPERLINK("http://catalog.hathitrust.org/Record/000233290","HathiTrust Record")</f>
        <v/>
      </c>
      <c r="AS972">
        <f>HYPERLINK("https://creighton-primo.hosted.exlibrisgroup.com/primo-explore/search?tab=default_tab&amp;search_scope=EVERYTHING&amp;vid=01CRU&amp;lang=en_US&amp;offset=0&amp;query=any,contains,991005220169702656","Catalog Record")</f>
        <v/>
      </c>
      <c r="AT972">
        <f>HYPERLINK("http://www.worldcat.org/oclc/8221330","WorldCat Record")</f>
        <v/>
      </c>
      <c r="AU972" t="inlineStr">
        <is>
          <t>544426:eng</t>
        </is>
      </c>
      <c r="AV972" t="inlineStr">
        <is>
          <t>8221330</t>
        </is>
      </c>
      <c r="AW972" t="inlineStr">
        <is>
          <t>991005220169702656</t>
        </is>
      </c>
      <c r="AX972" t="inlineStr">
        <is>
          <t>991005220169702656</t>
        </is>
      </c>
      <c r="AY972" t="inlineStr">
        <is>
          <t>2268592420002656</t>
        </is>
      </c>
      <c r="AZ972" t="inlineStr">
        <is>
          <t>BOOK</t>
        </is>
      </c>
      <c r="BB972" t="inlineStr">
        <is>
          <t>9780884103783</t>
        </is>
      </c>
      <c r="BC972" t="inlineStr">
        <is>
          <t>32285001410140</t>
        </is>
      </c>
      <c r="BD972" t="inlineStr">
        <is>
          <t>893905314</t>
        </is>
      </c>
    </row>
    <row r="973">
      <c r="A973" t="inlineStr">
        <is>
          <t>No</t>
        </is>
      </c>
      <c r="B973" t="inlineStr">
        <is>
          <t>HV741 .C465</t>
        </is>
      </c>
      <c r="C973" t="inlineStr">
        <is>
          <t>0                      HV 0741000C  465</t>
        </is>
      </c>
      <c r="D973" t="inlineStr">
        <is>
          <t>Child abuse : an agenda for action / edited by George Gerbner, Catherine J. Ross, and Edward Zigler.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L973" t="inlineStr">
        <is>
          <t>New York : Oxford University Press, 1980.</t>
        </is>
      </c>
      <c r="M973" t="inlineStr">
        <is>
          <t>1980</t>
        </is>
      </c>
      <c r="O973" t="inlineStr">
        <is>
          <t>eng</t>
        </is>
      </c>
      <c r="P973" t="inlineStr">
        <is>
          <t>nyu</t>
        </is>
      </c>
      <c r="R973" t="inlineStr">
        <is>
          <t xml:space="preserve">HV </t>
        </is>
      </c>
      <c r="S973" t="n">
        <v>14</v>
      </c>
      <c r="T973" t="n">
        <v>14</v>
      </c>
      <c r="U973" t="inlineStr">
        <is>
          <t>2007-02-13</t>
        </is>
      </c>
      <c r="V973" t="inlineStr">
        <is>
          <t>2007-02-13</t>
        </is>
      </c>
      <c r="W973" t="inlineStr">
        <is>
          <t>1993-05-20</t>
        </is>
      </c>
      <c r="X973" t="inlineStr">
        <is>
          <t>1993-05-20</t>
        </is>
      </c>
      <c r="Y973" t="n">
        <v>579</v>
      </c>
      <c r="Z973" t="n">
        <v>465</v>
      </c>
      <c r="AA973" t="n">
        <v>471</v>
      </c>
      <c r="AB973" t="n">
        <v>4</v>
      </c>
      <c r="AC973" t="n">
        <v>4</v>
      </c>
      <c r="AD973" t="n">
        <v>23</v>
      </c>
      <c r="AE973" t="n">
        <v>23</v>
      </c>
      <c r="AF973" t="n">
        <v>6</v>
      </c>
      <c r="AG973" t="n">
        <v>6</v>
      </c>
      <c r="AH973" t="n">
        <v>6</v>
      </c>
      <c r="AI973" t="n">
        <v>6</v>
      </c>
      <c r="AJ973" t="n">
        <v>10</v>
      </c>
      <c r="AK973" t="n">
        <v>10</v>
      </c>
      <c r="AL973" t="n">
        <v>2</v>
      </c>
      <c r="AM973" t="n">
        <v>2</v>
      </c>
      <c r="AN973" t="n">
        <v>5</v>
      </c>
      <c r="AO973" t="n">
        <v>5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HYPERLINK("http://catalog.hathitrust.org/Record/000719915","HathiTrust Record")</f>
        <v/>
      </c>
      <c r="AS973">
        <f>HYPERLINK("https://creighton-primo.hosted.exlibrisgroup.com/primo-explore/search?tab=default_tab&amp;search_scope=EVERYTHING&amp;vid=01CRU&amp;lang=en_US&amp;offset=0&amp;query=any,contains,991004856429702656","Catalog Record")</f>
        <v/>
      </c>
      <c r="AT973">
        <f>HYPERLINK("http://www.worldcat.org/oclc/5675342","WorldCat Record")</f>
        <v/>
      </c>
      <c r="AU973" t="inlineStr">
        <is>
          <t>889635705:eng</t>
        </is>
      </c>
      <c r="AV973" t="inlineStr">
        <is>
          <t>5675342</t>
        </is>
      </c>
      <c r="AW973" t="inlineStr">
        <is>
          <t>991004856429702656</t>
        </is>
      </c>
      <c r="AX973" t="inlineStr">
        <is>
          <t>991004856429702656</t>
        </is>
      </c>
      <c r="AY973" t="inlineStr">
        <is>
          <t>2260807440002656</t>
        </is>
      </c>
      <c r="AZ973" t="inlineStr">
        <is>
          <t>BOOK</t>
        </is>
      </c>
      <c r="BB973" t="inlineStr">
        <is>
          <t>9780195027204</t>
        </is>
      </c>
      <c r="BC973" t="inlineStr">
        <is>
          <t>32285001583227</t>
        </is>
      </c>
      <c r="BD973" t="inlineStr">
        <is>
          <t>893235997</t>
        </is>
      </c>
    </row>
    <row r="974">
      <c r="A974" t="inlineStr">
        <is>
          <t>No</t>
        </is>
      </c>
      <c r="B974" t="inlineStr">
        <is>
          <t>HV741 .C536145 1991</t>
        </is>
      </c>
      <c r="C974" t="inlineStr">
        <is>
          <t>0                      HV 0741000C  536145      1991</t>
        </is>
      </c>
      <c r="D974" t="inlineStr">
        <is>
          <t>Children in poverty : child development and public policy / edited by Aletha C. Huston.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L974" t="inlineStr">
        <is>
          <t>Cambridge ; New York : Cambridge University Press, 1991.</t>
        </is>
      </c>
      <c r="M974" t="inlineStr">
        <is>
          <t>1991</t>
        </is>
      </c>
      <c r="O974" t="inlineStr">
        <is>
          <t>eng</t>
        </is>
      </c>
      <c r="P974" t="inlineStr">
        <is>
          <t>enk</t>
        </is>
      </c>
      <c r="R974" t="inlineStr">
        <is>
          <t xml:space="preserve">HV </t>
        </is>
      </c>
      <c r="S974" t="n">
        <v>48</v>
      </c>
      <c r="T974" t="n">
        <v>48</v>
      </c>
      <c r="U974" t="inlineStr">
        <is>
          <t>2010-11-14</t>
        </is>
      </c>
      <c r="V974" t="inlineStr">
        <is>
          <t>2010-11-14</t>
        </is>
      </c>
      <c r="W974" t="inlineStr">
        <is>
          <t>1992-11-12</t>
        </is>
      </c>
      <c r="X974" t="inlineStr">
        <is>
          <t>1992-11-12</t>
        </is>
      </c>
      <c r="Y974" t="n">
        <v>672</v>
      </c>
      <c r="Z974" t="n">
        <v>530</v>
      </c>
      <c r="AA974" t="n">
        <v>536</v>
      </c>
      <c r="AB974" t="n">
        <v>4</v>
      </c>
      <c r="AC974" t="n">
        <v>4</v>
      </c>
      <c r="AD974" t="n">
        <v>35</v>
      </c>
      <c r="AE974" t="n">
        <v>35</v>
      </c>
      <c r="AF974" t="n">
        <v>14</v>
      </c>
      <c r="AG974" t="n">
        <v>14</v>
      </c>
      <c r="AH974" t="n">
        <v>6</v>
      </c>
      <c r="AI974" t="n">
        <v>6</v>
      </c>
      <c r="AJ974" t="n">
        <v>17</v>
      </c>
      <c r="AK974" t="n">
        <v>17</v>
      </c>
      <c r="AL974" t="n">
        <v>3</v>
      </c>
      <c r="AM974" t="n">
        <v>3</v>
      </c>
      <c r="AN974" t="n">
        <v>2</v>
      </c>
      <c r="AO974" t="n">
        <v>2</v>
      </c>
      <c r="AP974" t="inlineStr">
        <is>
          <t>No</t>
        </is>
      </c>
      <c r="AQ974" t="inlineStr">
        <is>
          <t>No</t>
        </is>
      </c>
      <c r="AS974">
        <f>HYPERLINK("https://creighton-primo.hosted.exlibrisgroup.com/primo-explore/search?tab=default_tab&amp;search_scope=EVERYTHING&amp;vid=01CRU&amp;lang=en_US&amp;offset=0&amp;query=any,contains,991005413269702656","Catalog Record")</f>
        <v/>
      </c>
      <c r="AT974">
        <f>HYPERLINK("http://www.worldcat.org/oclc/23286432","WorldCat Record")</f>
        <v/>
      </c>
      <c r="AU974" t="inlineStr">
        <is>
          <t>836841324:eng</t>
        </is>
      </c>
      <c r="AV974" t="inlineStr">
        <is>
          <t>23286432</t>
        </is>
      </c>
      <c r="AW974" t="inlineStr">
        <is>
          <t>991005413269702656</t>
        </is>
      </c>
      <c r="AX974" t="inlineStr">
        <is>
          <t>991005413269702656</t>
        </is>
      </c>
      <c r="AY974" t="inlineStr">
        <is>
          <t>2269804200002656</t>
        </is>
      </c>
      <c r="AZ974" t="inlineStr">
        <is>
          <t>BOOK</t>
        </is>
      </c>
      <c r="BB974" t="inlineStr">
        <is>
          <t>9780521391627</t>
        </is>
      </c>
      <c r="BC974" t="inlineStr">
        <is>
          <t>32285001362341</t>
        </is>
      </c>
      <c r="BD974" t="inlineStr">
        <is>
          <t>893254966</t>
        </is>
      </c>
    </row>
    <row r="975">
      <c r="A975" t="inlineStr">
        <is>
          <t>No</t>
        </is>
      </c>
      <c r="B975" t="inlineStr">
        <is>
          <t>HV741 .C536155 1999</t>
        </is>
      </c>
      <c r="C975" t="inlineStr">
        <is>
          <t>0                      HV 0741000C  536155      1999</t>
        </is>
      </c>
      <c r="D975" t="inlineStr">
        <is>
          <t>Children of color : research, health, and policy issues / edited by Hiram E. Fitzgerald, Barry M. Lester, Barry S. Zuckerman.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L975" t="inlineStr">
        <is>
          <t>New York : Garland Pub., 1999.</t>
        </is>
      </c>
      <c r="M975" t="inlineStr">
        <is>
          <t>1999</t>
        </is>
      </c>
      <c r="O975" t="inlineStr">
        <is>
          <t>eng</t>
        </is>
      </c>
      <c r="P975" t="inlineStr">
        <is>
          <t>nyu</t>
        </is>
      </c>
      <c r="Q975" t="inlineStr">
        <is>
          <t>Garland reference library of social science ; vol. 1093</t>
        </is>
      </c>
      <c r="R975" t="inlineStr">
        <is>
          <t xml:space="preserve">HV </t>
        </is>
      </c>
      <c r="S975" t="n">
        <v>4</v>
      </c>
      <c r="T975" t="n">
        <v>4</v>
      </c>
      <c r="U975" t="inlineStr">
        <is>
          <t>2009-10-08</t>
        </is>
      </c>
      <c r="V975" t="inlineStr">
        <is>
          <t>2009-10-08</t>
        </is>
      </c>
      <c r="W975" t="inlineStr">
        <is>
          <t>2001-03-13</t>
        </is>
      </c>
      <c r="X975" t="inlineStr">
        <is>
          <t>2001-03-13</t>
        </is>
      </c>
      <c r="Y975" t="n">
        <v>219</v>
      </c>
      <c r="Z975" t="n">
        <v>197</v>
      </c>
      <c r="AA975" t="n">
        <v>216</v>
      </c>
      <c r="AB975" t="n">
        <v>3</v>
      </c>
      <c r="AC975" t="n">
        <v>3</v>
      </c>
      <c r="AD975" t="n">
        <v>11</v>
      </c>
      <c r="AE975" t="n">
        <v>11</v>
      </c>
      <c r="AF975" t="n">
        <v>0</v>
      </c>
      <c r="AG975" t="n">
        <v>0</v>
      </c>
      <c r="AH975" t="n">
        <v>4</v>
      </c>
      <c r="AI975" t="n">
        <v>4</v>
      </c>
      <c r="AJ975" t="n">
        <v>7</v>
      </c>
      <c r="AK975" t="n">
        <v>7</v>
      </c>
      <c r="AL975" t="n">
        <v>2</v>
      </c>
      <c r="AM975" t="n">
        <v>2</v>
      </c>
      <c r="AN975" t="n">
        <v>0</v>
      </c>
      <c r="AO975" t="n">
        <v>0</v>
      </c>
      <c r="AP975" t="inlineStr">
        <is>
          <t>No</t>
        </is>
      </c>
      <c r="AQ975" t="inlineStr">
        <is>
          <t>No</t>
        </is>
      </c>
      <c r="AS975">
        <f>HYPERLINK("https://creighton-primo.hosted.exlibrisgroup.com/primo-explore/search?tab=default_tab&amp;search_scope=EVERYTHING&amp;vid=01CRU&amp;lang=en_US&amp;offset=0&amp;query=any,contains,991003481499702656","Catalog Record")</f>
        <v/>
      </c>
      <c r="AT975">
        <f>HYPERLINK("http://www.worldcat.org/oclc/39765166","WorldCat Record")</f>
        <v/>
      </c>
      <c r="AU975" t="inlineStr">
        <is>
          <t>836988160:eng</t>
        </is>
      </c>
      <c r="AV975" t="inlineStr">
        <is>
          <t>39765166</t>
        </is>
      </c>
      <c r="AW975" t="inlineStr">
        <is>
          <t>991003481499702656</t>
        </is>
      </c>
      <c r="AX975" t="inlineStr">
        <is>
          <t>991003481499702656</t>
        </is>
      </c>
      <c r="AY975" t="inlineStr">
        <is>
          <t>2264701340002656</t>
        </is>
      </c>
      <c r="AZ975" t="inlineStr">
        <is>
          <t>BOOK</t>
        </is>
      </c>
      <c r="BB975" t="inlineStr">
        <is>
          <t>9780815322887</t>
        </is>
      </c>
      <c r="BC975" t="inlineStr">
        <is>
          <t>32285004305214</t>
        </is>
      </c>
      <c r="BD975" t="inlineStr">
        <is>
          <t>893422605</t>
        </is>
      </c>
    </row>
    <row r="976">
      <c r="A976" t="inlineStr">
        <is>
          <t>No</t>
        </is>
      </c>
      <c r="B976" t="inlineStr">
        <is>
          <t>HV741 .C5377 1994</t>
        </is>
      </c>
      <c r="C976" t="inlineStr">
        <is>
          <t>0                      HV 0741000C  5377        1994</t>
        </is>
      </c>
      <c r="D976" t="inlineStr">
        <is>
          <t>Wasting America's future : the Children's Defense Fund report on the costs of child poverty / by Arloc Sherman ; introduction by Marian Wright Edelman ; foreward by Robert M. Solow.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Sherman, Arloc.</t>
        </is>
      </c>
      <c r="L976" t="inlineStr">
        <is>
          <t>Boston : Beacon Press, c1994.</t>
        </is>
      </c>
      <c r="M976" t="inlineStr">
        <is>
          <t>1994</t>
        </is>
      </c>
      <c r="O976" t="inlineStr">
        <is>
          <t>eng</t>
        </is>
      </c>
      <c r="P976" t="inlineStr">
        <is>
          <t>mau</t>
        </is>
      </c>
      <c r="R976" t="inlineStr">
        <is>
          <t xml:space="preserve">HV </t>
        </is>
      </c>
      <c r="S976" t="n">
        <v>15</v>
      </c>
      <c r="T976" t="n">
        <v>15</v>
      </c>
      <c r="U976" t="inlineStr">
        <is>
          <t>2008-11-19</t>
        </is>
      </c>
      <c r="V976" t="inlineStr">
        <is>
          <t>2008-11-19</t>
        </is>
      </c>
      <c r="W976" t="inlineStr">
        <is>
          <t>1995-04-03</t>
        </is>
      </c>
      <c r="X976" t="inlineStr">
        <is>
          <t>1995-04-03</t>
        </is>
      </c>
      <c r="Y976" t="n">
        <v>884</v>
      </c>
      <c r="Z976" t="n">
        <v>846</v>
      </c>
      <c r="AA976" t="n">
        <v>852</v>
      </c>
      <c r="AB976" t="n">
        <v>7</v>
      </c>
      <c r="AC976" t="n">
        <v>7</v>
      </c>
      <c r="AD976" t="n">
        <v>35</v>
      </c>
      <c r="AE976" t="n">
        <v>35</v>
      </c>
      <c r="AF976" t="n">
        <v>11</v>
      </c>
      <c r="AG976" t="n">
        <v>11</v>
      </c>
      <c r="AH976" t="n">
        <v>8</v>
      </c>
      <c r="AI976" t="n">
        <v>8</v>
      </c>
      <c r="AJ976" t="n">
        <v>12</v>
      </c>
      <c r="AK976" t="n">
        <v>12</v>
      </c>
      <c r="AL976" t="n">
        <v>6</v>
      </c>
      <c r="AM976" t="n">
        <v>6</v>
      </c>
      <c r="AN976" t="n">
        <v>3</v>
      </c>
      <c r="AO976" t="n">
        <v>3</v>
      </c>
      <c r="AP976" t="inlineStr">
        <is>
          <t>No</t>
        </is>
      </c>
      <c r="AQ976" t="inlineStr">
        <is>
          <t>No</t>
        </is>
      </c>
      <c r="AS976">
        <f>HYPERLINK("https://creighton-primo.hosted.exlibrisgroup.com/primo-explore/search?tab=default_tab&amp;search_scope=EVERYTHING&amp;vid=01CRU&amp;lang=en_US&amp;offset=0&amp;query=any,contains,991002376949702656","Catalog Record")</f>
        <v/>
      </c>
      <c r="AT976">
        <f>HYPERLINK("http://www.worldcat.org/oclc/30895712","WorldCat Record")</f>
        <v/>
      </c>
      <c r="AU976" t="inlineStr">
        <is>
          <t>33357616:eng</t>
        </is>
      </c>
      <c r="AV976" t="inlineStr">
        <is>
          <t>30895712</t>
        </is>
      </c>
      <c r="AW976" t="inlineStr">
        <is>
          <t>991002376949702656</t>
        </is>
      </c>
      <c r="AX976" t="inlineStr">
        <is>
          <t>991002376949702656</t>
        </is>
      </c>
      <c r="AY976" t="inlineStr">
        <is>
          <t>2271154580002656</t>
        </is>
      </c>
      <c r="AZ976" t="inlineStr">
        <is>
          <t>BOOK</t>
        </is>
      </c>
      <c r="BB976" t="inlineStr">
        <is>
          <t>9780807041062</t>
        </is>
      </c>
      <c r="BC976" t="inlineStr">
        <is>
          <t>32285002015971</t>
        </is>
      </c>
      <c r="BD976" t="inlineStr">
        <is>
          <t>893898686</t>
        </is>
      </c>
    </row>
    <row r="977">
      <c r="A977" t="inlineStr">
        <is>
          <t>No</t>
        </is>
      </c>
      <c r="B977" t="inlineStr">
        <is>
          <t>HV741 .C623 1997</t>
        </is>
      </c>
      <c r="C977" t="inlineStr">
        <is>
          <t>0                      HV 0741000C  623         1997</t>
        </is>
      </c>
      <c r="D977" t="inlineStr">
        <is>
          <t>Consequences of growing up poor / Greg J. Duncan, Jeanne Brooks-Gunn, editors.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L977" t="inlineStr">
        <is>
          <t>New York : Russell Sage Foundation, c1997.</t>
        </is>
      </c>
      <c r="M977" t="inlineStr">
        <is>
          <t>1997</t>
        </is>
      </c>
      <c r="O977" t="inlineStr">
        <is>
          <t>eng</t>
        </is>
      </c>
      <c r="P977" t="inlineStr">
        <is>
          <t>nyu</t>
        </is>
      </c>
      <c r="R977" t="inlineStr">
        <is>
          <t xml:space="preserve">HV </t>
        </is>
      </c>
      <c r="S977" t="n">
        <v>10</v>
      </c>
      <c r="T977" t="n">
        <v>10</v>
      </c>
      <c r="U977" t="inlineStr">
        <is>
          <t>2008-12-02</t>
        </is>
      </c>
      <c r="V977" t="inlineStr">
        <is>
          <t>2008-12-02</t>
        </is>
      </c>
      <c r="W977" t="inlineStr">
        <is>
          <t>1997-07-22</t>
        </is>
      </c>
      <c r="X977" t="inlineStr">
        <is>
          <t>1997-07-22</t>
        </is>
      </c>
      <c r="Y977" t="n">
        <v>705</v>
      </c>
      <c r="Z977" t="n">
        <v>632</v>
      </c>
      <c r="AA977" t="n">
        <v>743</v>
      </c>
      <c r="AB977" t="n">
        <v>6</v>
      </c>
      <c r="AC977" t="n">
        <v>6</v>
      </c>
      <c r="AD977" t="n">
        <v>33</v>
      </c>
      <c r="AE977" t="n">
        <v>38</v>
      </c>
      <c r="AF977" t="n">
        <v>14</v>
      </c>
      <c r="AG977" t="n">
        <v>18</v>
      </c>
      <c r="AH977" t="n">
        <v>7</v>
      </c>
      <c r="AI977" t="n">
        <v>9</v>
      </c>
      <c r="AJ977" t="n">
        <v>18</v>
      </c>
      <c r="AK977" t="n">
        <v>19</v>
      </c>
      <c r="AL977" t="n">
        <v>5</v>
      </c>
      <c r="AM977" t="n">
        <v>5</v>
      </c>
      <c r="AN977" t="n">
        <v>0</v>
      </c>
      <c r="AO977" t="n">
        <v>0</v>
      </c>
      <c r="AP977" t="inlineStr">
        <is>
          <t>No</t>
        </is>
      </c>
      <c r="AQ977" t="inlineStr">
        <is>
          <t>No</t>
        </is>
      </c>
      <c r="AS977">
        <f>HYPERLINK("https://creighton-primo.hosted.exlibrisgroup.com/primo-explore/search?tab=default_tab&amp;search_scope=EVERYTHING&amp;vid=01CRU&amp;lang=en_US&amp;offset=0&amp;query=any,contains,991002754099702656","Catalog Record")</f>
        <v/>
      </c>
      <c r="AT977">
        <f>HYPERLINK("http://www.worldcat.org/oclc/36130764","WorldCat Record")</f>
        <v/>
      </c>
      <c r="AU977" t="inlineStr">
        <is>
          <t>350286671:eng</t>
        </is>
      </c>
      <c r="AV977" t="inlineStr">
        <is>
          <t>36130764</t>
        </is>
      </c>
      <c r="AW977" t="inlineStr">
        <is>
          <t>991002754099702656</t>
        </is>
      </c>
      <c r="AX977" t="inlineStr">
        <is>
          <t>991002754099702656</t>
        </is>
      </c>
      <c r="AY977" t="inlineStr">
        <is>
          <t>2254991550002656</t>
        </is>
      </c>
      <c r="AZ977" t="inlineStr">
        <is>
          <t>BOOK</t>
        </is>
      </c>
      <c r="BB977" t="inlineStr">
        <is>
          <t>9780871541437</t>
        </is>
      </c>
      <c r="BC977" t="inlineStr">
        <is>
          <t>32285002883857</t>
        </is>
      </c>
      <c r="BD977" t="inlineStr">
        <is>
          <t>893622681</t>
        </is>
      </c>
    </row>
    <row r="978">
      <c r="A978" t="inlineStr">
        <is>
          <t>No</t>
        </is>
      </c>
      <c r="B978" t="inlineStr">
        <is>
          <t>HV741 .C78 2004</t>
        </is>
      </c>
      <c r="C978" t="inlineStr">
        <is>
          <t>0                      HV 0741000C  78          2004</t>
        </is>
      </c>
      <c r="D978" t="inlineStr">
        <is>
          <t>Culturally competent practice with immigrant and refugee children and families / edited by Rowena Fong ; series editor's note by Nancy Boyd Webb.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L978" t="inlineStr">
        <is>
          <t>New York : Guilford Press, c2004.</t>
        </is>
      </c>
      <c r="M978" t="inlineStr">
        <is>
          <t>2004</t>
        </is>
      </c>
      <c r="O978" t="inlineStr">
        <is>
          <t>eng</t>
        </is>
      </c>
      <c r="P978" t="inlineStr">
        <is>
          <t>nyu</t>
        </is>
      </c>
      <c r="Q978" t="inlineStr">
        <is>
          <t>Social work practice with children and families</t>
        </is>
      </c>
      <c r="R978" t="inlineStr">
        <is>
          <t xml:space="preserve">HV </t>
        </is>
      </c>
      <c r="S978" t="n">
        <v>4</v>
      </c>
      <c r="T978" t="n">
        <v>4</v>
      </c>
      <c r="U978" t="inlineStr">
        <is>
          <t>2009-02-25</t>
        </is>
      </c>
      <c r="V978" t="inlineStr">
        <is>
          <t>2009-02-25</t>
        </is>
      </c>
      <c r="W978" t="inlineStr">
        <is>
          <t>2006-01-04</t>
        </is>
      </c>
      <c r="X978" t="inlineStr">
        <is>
          <t>2006-01-04</t>
        </is>
      </c>
      <c r="Y978" t="n">
        <v>481</v>
      </c>
      <c r="Z978" t="n">
        <v>412</v>
      </c>
      <c r="AA978" t="n">
        <v>415</v>
      </c>
      <c r="AB978" t="n">
        <v>8</v>
      </c>
      <c r="AC978" t="n">
        <v>8</v>
      </c>
      <c r="AD978" t="n">
        <v>24</v>
      </c>
      <c r="AE978" t="n">
        <v>24</v>
      </c>
      <c r="AF978" t="n">
        <v>5</v>
      </c>
      <c r="AG978" t="n">
        <v>5</v>
      </c>
      <c r="AH978" t="n">
        <v>5</v>
      </c>
      <c r="AI978" t="n">
        <v>5</v>
      </c>
      <c r="AJ978" t="n">
        <v>11</v>
      </c>
      <c r="AK978" t="n">
        <v>11</v>
      </c>
      <c r="AL978" t="n">
        <v>7</v>
      </c>
      <c r="AM978" t="n">
        <v>7</v>
      </c>
      <c r="AN978" t="n">
        <v>0</v>
      </c>
      <c r="AO978" t="n">
        <v>0</v>
      </c>
      <c r="AP978" t="inlineStr">
        <is>
          <t>No</t>
        </is>
      </c>
      <c r="AQ978" t="inlineStr">
        <is>
          <t>No</t>
        </is>
      </c>
      <c r="AS978">
        <f>HYPERLINK("https://creighton-primo.hosted.exlibrisgroup.com/primo-explore/search?tab=default_tab&amp;search_scope=EVERYTHING&amp;vid=01CRU&amp;lang=en_US&amp;offset=0&amp;query=any,contains,991004680949702656","Catalog Record")</f>
        <v/>
      </c>
      <c r="AT978">
        <f>HYPERLINK("http://www.worldcat.org/oclc/52942772","WorldCat Record")</f>
        <v/>
      </c>
      <c r="AU978" t="inlineStr">
        <is>
          <t>783270:eng</t>
        </is>
      </c>
      <c r="AV978" t="inlineStr">
        <is>
          <t>52942772</t>
        </is>
      </c>
      <c r="AW978" t="inlineStr">
        <is>
          <t>991004680949702656</t>
        </is>
      </c>
      <c r="AX978" t="inlineStr">
        <is>
          <t>991004680949702656</t>
        </is>
      </c>
      <c r="AY978" t="inlineStr">
        <is>
          <t>2270578750002656</t>
        </is>
      </c>
      <c r="AZ978" t="inlineStr">
        <is>
          <t>BOOK</t>
        </is>
      </c>
      <c r="BB978" t="inlineStr">
        <is>
          <t>9781572309319</t>
        </is>
      </c>
      <c r="BC978" t="inlineStr">
        <is>
          <t>32285005153787</t>
        </is>
      </c>
      <c r="BD978" t="inlineStr">
        <is>
          <t>893700533</t>
        </is>
      </c>
    </row>
    <row r="979">
      <c r="A979" t="inlineStr">
        <is>
          <t>No</t>
        </is>
      </c>
      <c r="B979" t="inlineStr">
        <is>
          <t>HV741 .D35</t>
        </is>
      </c>
      <c r="C979" t="inlineStr">
        <is>
          <t>0                      HV 0741000D  35</t>
        </is>
      </c>
      <c r="D979" t="inlineStr">
        <is>
          <t>Damaged parents, an anatomy of child neglect / Norman A. Polansky ... [et al.].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L979" t="inlineStr">
        <is>
          <t>Chicago : University of Chicago Press, 1981.</t>
        </is>
      </c>
      <c r="M979" t="inlineStr">
        <is>
          <t>1981</t>
        </is>
      </c>
      <c r="O979" t="inlineStr">
        <is>
          <t>eng</t>
        </is>
      </c>
      <c r="P979" t="inlineStr">
        <is>
          <t>ilu</t>
        </is>
      </c>
      <c r="R979" t="inlineStr">
        <is>
          <t xml:space="preserve">HV </t>
        </is>
      </c>
      <c r="S979" t="n">
        <v>7</v>
      </c>
      <c r="T979" t="n">
        <v>7</v>
      </c>
      <c r="U979" t="inlineStr">
        <is>
          <t>1999-04-12</t>
        </is>
      </c>
      <c r="V979" t="inlineStr">
        <is>
          <t>1999-04-12</t>
        </is>
      </c>
      <c r="W979" t="inlineStr">
        <is>
          <t>1990-03-08</t>
        </is>
      </c>
      <c r="X979" t="inlineStr">
        <is>
          <t>1990-03-08</t>
        </is>
      </c>
      <c r="Y979" t="n">
        <v>999</v>
      </c>
      <c r="Z979" t="n">
        <v>854</v>
      </c>
      <c r="AA979" t="n">
        <v>861</v>
      </c>
      <c r="AB979" t="n">
        <v>8</v>
      </c>
      <c r="AC979" t="n">
        <v>8</v>
      </c>
      <c r="AD979" t="n">
        <v>32</v>
      </c>
      <c r="AE979" t="n">
        <v>32</v>
      </c>
      <c r="AF979" t="n">
        <v>13</v>
      </c>
      <c r="AG979" t="n">
        <v>13</v>
      </c>
      <c r="AH979" t="n">
        <v>6</v>
      </c>
      <c r="AI979" t="n">
        <v>6</v>
      </c>
      <c r="AJ979" t="n">
        <v>14</v>
      </c>
      <c r="AK979" t="n">
        <v>14</v>
      </c>
      <c r="AL979" t="n">
        <v>5</v>
      </c>
      <c r="AM979" t="n">
        <v>5</v>
      </c>
      <c r="AN979" t="n">
        <v>0</v>
      </c>
      <c r="AO979" t="n">
        <v>0</v>
      </c>
      <c r="AP979" t="inlineStr">
        <is>
          <t>No</t>
        </is>
      </c>
      <c r="AQ979" t="inlineStr">
        <is>
          <t>No</t>
        </is>
      </c>
      <c r="AS979">
        <f>HYPERLINK("https://creighton-primo.hosted.exlibrisgroup.com/primo-explore/search?tab=default_tab&amp;search_scope=EVERYTHING&amp;vid=01CRU&amp;lang=en_US&amp;offset=0&amp;query=any,contains,991005039929702656","Catalog Record")</f>
        <v/>
      </c>
      <c r="AT979">
        <f>HYPERLINK("http://www.worldcat.org/oclc/6789242","WorldCat Record")</f>
        <v/>
      </c>
      <c r="AU979" t="inlineStr">
        <is>
          <t>24380596:eng</t>
        </is>
      </c>
      <c r="AV979" t="inlineStr">
        <is>
          <t>6789242</t>
        </is>
      </c>
      <c r="AW979" t="inlineStr">
        <is>
          <t>991005039929702656</t>
        </is>
      </c>
      <c r="AX979" t="inlineStr">
        <is>
          <t>991005039929702656</t>
        </is>
      </c>
      <c r="AY979" t="inlineStr">
        <is>
          <t>2263931330002656</t>
        </is>
      </c>
      <c r="AZ979" t="inlineStr">
        <is>
          <t>BOOK</t>
        </is>
      </c>
      <c r="BB979" t="inlineStr">
        <is>
          <t>9780226672212</t>
        </is>
      </c>
      <c r="BC979" t="inlineStr">
        <is>
          <t>32285000078856</t>
        </is>
      </c>
      <c r="BD979" t="inlineStr">
        <is>
          <t>893263571</t>
        </is>
      </c>
    </row>
    <row r="980">
      <c r="A980" t="inlineStr">
        <is>
          <t>No</t>
        </is>
      </c>
      <c r="B980" t="inlineStr">
        <is>
          <t>HV741 .D47 1992</t>
        </is>
      </c>
      <c r="C980" t="inlineStr">
        <is>
          <t>0                      HV 0741000D  47          1992</t>
        </is>
      </c>
      <c r="D980" t="inlineStr">
        <is>
          <t>A Coordinated response to child abuse and neglect : a basic manual / Diane DePanfilis, Marsha K. Salus.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DePanfilis, Diane.</t>
        </is>
      </c>
      <c r="L980" t="inlineStr">
        <is>
          <t>McLean, Va. : The Circle ; [Washington, D.C.] : U.S. Dept. of Health and Human Services ; Administration for Children and Families ; Administration on Children, Youth and Families, National Center on Child Abuse and Neglect, [1992]</t>
        </is>
      </c>
      <c r="M980" t="inlineStr">
        <is>
          <t>1992</t>
        </is>
      </c>
      <c r="O980" t="inlineStr">
        <is>
          <t>eng</t>
        </is>
      </c>
      <c r="P980" t="inlineStr">
        <is>
          <t>vau</t>
        </is>
      </c>
      <c r="R980" t="inlineStr">
        <is>
          <t xml:space="preserve">HV </t>
        </is>
      </c>
      <c r="S980" t="n">
        <v>10</v>
      </c>
      <c r="T980" t="n">
        <v>10</v>
      </c>
      <c r="U980" t="inlineStr">
        <is>
          <t>2007-05-07</t>
        </is>
      </c>
      <c r="V980" t="inlineStr">
        <is>
          <t>2007-05-07</t>
        </is>
      </c>
      <c r="W980" t="inlineStr">
        <is>
          <t>1996-08-21</t>
        </is>
      </c>
      <c r="X980" t="inlineStr">
        <is>
          <t>1996-08-21</t>
        </is>
      </c>
      <c r="Y980" t="n">
        <v>91</v>
      </c>
      <c r="Z980" t="n">
        <v>86</v>
      </c>
      <c r="AA980" t="n">
        <v>95</v>
      </c>
      <c r="AB980" t="n">
        <v>2</v>
      </c>
      <c r="AC980" t="n">
        <v>2</v>
      </c>
      <c r="AD980" t="n">
        <v>8</v>
      </c>
      <c r="AE980" t="n">
        <v>8</v>
      </c>
      <c r="AF980" t="n">
        <v>1</v>
      </c>
      <c r="AG980" t="n">
        <v>1</v>
      </c>
      <c r="AH980" t="n">
        <v>2</v>
      </c>
      <c r="AI980" t="n">
        <v>2</v>
      </c>
      <c r="AJ980" t="n">
        <v>3</v>
      </c>
      <c r="AK980" t="n">
        <v>3</v>
      </c>
      <c r="AL980" t="n">
        <v>1</v>
      </c>
      <c r="AM980" t="n">
        <v>1</v>
      </c>
      <c r="AN980" t="n">
        <v>2</v>
      </c>
      <c r="AO980" t="n">
        <v>2</v>
      </c>
      <c r="AP980" t="inlineStr">
        <is>
          <t>Yes</t>
        </is>
      </c>
      <c r="AQ980" t="inlineStr">
        <is>
          <t>No</t>
        </is>
      </c>
      <c r="AR980">
        <f>HYPERLINK("http://catalog.hathitrust.org/Record/102717048","HathiTrust Record")</f>
        <v/>
      </c>
      <c r="AS980">
        <f>HYPERLINK("https://creighton-primo.hosted.exlibrisgroup.com/primo-explore/search?tab=default_tab&amp;search_scope=EVERYTHING&amp;vid=01CRU&amp;lang=en_US&amp;offset=0&amp;query=any,contains,991002235859702656","Catalog Record")</f>
        <v/>
      </c>
      <c r="AT980">
        <f>HYPERLINK("http://www.worldcat.org/oclc/28843329","WorldCat Record")</f>
        <v/>
      </c>
      <c r="AU980" t="inlineStr">
        <is>
          <t>1808845305:eng</t>
        </is>
      </c>
      <c r="AV980" t="inlineStr">
        <is>
          <t>28843329</t>
        </is>
      </c>
      <c r="AW980" t="inlineStr">
        <is>
          <t>991002235859702656</t>
        </is>
      </c>
      <c r="AX980" t="inlineStr">
        <is>
          <t>991002235859702656</t>
        </is>
      </c>
      <c r="AY980" t="inlineStr">
        <is>
          <t>2263446260002656</t>
        </is>
      </c>
      <c r="AZ980" t="inlineStr">
        <is>
          <t>BOOK</t>
        </is>
      </c>
      <c r="BC980" t="inlineStr">
        <is>
          <t>32285002291291</t>
        </is>
      </c>
      <c r="BD980" t="inlineStr">
        <is>
          <t>893238812</t>
        </is>
      </c>
    </row>
    <row r="981">
      <c r="A981" t="inlineStr">
        <is>
          <t>No</t>
        </is>
      </c>
      <c r="B981" t="inlineStr">
        <is>
          <t>HV741 .D53 2009</t>
        </is>
      </c>
      <c r="C981" t="inlineStr">
        <is>
          <t>0                      HV 0741000D  53          2009</t>
        </is>
      </c>
      <c r="D981" t="inlineStr">
        <is>
          <t>Reversing the odds : improving outcomes for babies in the child welfare system / by Sheryl Dicker ; [foreword by Carol H. Rasco].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Dicker, Sheryl.</t>
        </is>
      </c>
      <c r="L981" t="inlineStr">
        <is>
          <t>Baltimore : Paul H. Brookes Pub. Co., c2009.</t>
        </is>
      </c>
      <c r="M981" t="inlineStr">
        <is>
          <t>2009</t>
        </is>
      </c>
      <c r="O981" t="inlineStr">
        <is>
          <t>eng</t>
        </is>
      </c>
      <c r="P981" t="inlineStr">
        <is>
          <t>mdu</t>
        </is>
      </c>
      <c r="R981" t="inlineStr">
        <is>
          <t xml:space="preserve">HV </t>
        </is>
      </c>
      <c r="S981" t="n">
        <v>1</v>
      </c>
      <c r="T981" t="n">
        <v>1</v>
      </c>
      <c r="U981" t="inlineStr">
        <is>
          <t>2009-09-24</t>
        </is>
      </c>
      <c r="V981" t="inlineStr">
        <is>
          <t>2009-09-24</t>
        </is>
      </c>
      <c r="W981" t="inlineStr">
        <is>
          <t>2009-09-24</t>
        </is>
      </c>
      <c r="X981" t="inlineStr">
        <is>
          <t>2009-09-24</t>
        </is>
      </c>
      <c r="Y981" t="n">
        <v>222</v>
      </c>
      <c r="Z981" t="n">
        <v>196</v>
      </c>
      <c r="AA981" t="n">
        <v>201</v>
      </c>
      <c r="AB981" t="n">
        <v>3</v>
      </c>
      <c r="AC981" t="n">
        <v>3</v>
      </c>
      <c r="AD981" t="n">
        <v>9</v>
      </c>
      <c r="AE981" t="n">
        <v>9</v>
      </c>
      <c r="AF981" t="n">
        <v>3</v>
      </c>
      <c r="AG981" t="n">
        <v>3</v>
      </c>
      <c r="AH981" t="n">
        <v>0</v>
      </c>
      <c r="AI981" t="n">
        <v>0</v>
      </c>
      <c r="AJ981" t="n">
        <v>5</v>
      </c>
      <c r="AK981" t="n">
        <v>5</v>
      </c>
      <c r="AL981" t="n">
        <v>1</v>
      </c>
      <c r="AM981" t="n">
        <v>1</v>
      </c>
      <c r="AN981" t="n">
        <v>1</v>
      </c>
      <c r="AO981" t="n">
        <v>1</v>
      </c>
      <c r="AP981" t="inlineStr">
        <is>
          <t>No</t>
        </is>
      </c>
      <c r="AQ981" t="inlineStr">
        <is>
          <t>No</t>
        </is>
      </c>
      <c r="AS981">
        <f>HYPERLINK("https://creighton-primo.hosted.exlibrisgroup.com/primo-explore/search?tab=default_tab&amp;search_scope=EVERYTHING&amp;vid=01CRU&amp;lang=en_US&amp;offset=0&amp;query=any,contains,991005334659702656","Catalog Record")</f>
        <v/>
      </c>
      <c r="AT981">
        <f>HYPERLINK("http://www.worldcat.org/oclc/317361697","WorldCat Record")</f>
        <v/>
      </c>
      <c r="AU981" t="inlineStr">
        <is>
          <t>802026087:eng</t>
        </is>
      </c>
      <c r="AV981" t="inlineStr">
        <is>
          <t>317361697</t>
        </is>
      </c>
      <c r="AW981" t="inlineStr">
        <is>
          <t>991005334659702656</t>
        </is>
      </c>
      <c r="AX981" t="inlineStr">
        <is>
          <t>991005334659702656</t>
        </is>
      </c>
      <c r="AY981" t="inlineStr">
        <is>
          <t>2270629900002656</t>
        </is>
      </c>
      <c r="AZ981" t="inlineStr">
        <is>
          <t>BOOK</t>
        </is>
      </c>
      <c r="BB981" t="inlineStr">
        <is>
          <t>9781557669612</t>
        </is>
      </c>
      <c r="BC981" t="inlineStr">
        <is>
          <t>32285005545206</t>
        </is>
      </c>
      <c r="BD981" t="inlineStr">
        <is>
          <t>893351107</t>
        </is>
      </c>
    </row>
    <row r="982">
      <c r="A982" t="inlineStr">
        <is>
          <t>No</t>
        </is>
      </c>
      <c r="B982" t="inlineStr">
        <is>
          <t>HV741 .F35</t>
        </is>
      </c>
      <c r="C982" t="inlineStr">
        <is>
          <t>0                      HV 0741000F  35</t>
        </is>
      </c>
      <c r="D982" t="inlineStr">
        <is>
          <t>Child abuse and the school / by Jeanette Willan Fairorth.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Fairorth, Jeanette Willan.</t>
        </is>
      </c>
      <c r="L982" t="inlineStr">
        <is>
          <t>Palo Alto, Calif. : R &amp; E Research Associates, c1982.</t>
        </is>
      </c>
      <c r="M982" t="inlineStr">
        <is>
          <t>1982</t>
        </is>
      </c>
      <c r="O982" t="inlineStr">
        <is>
          <t>eng</t>
        </is>
      </c>
      <c r="P982" t="inlineStr">
        <is>
          <t>cau</t>
        </is>
      </c>
      <c r="R982" t="inlineStr">
        <is>
          <t xml:space="preserve">HV </t>
        </is>
      </c>
      <c r="S982" t="n">
        <v>7</v>
      </c>
      <c r="T982" t="n">
        <v>7</v>
      </c>
      <c r="U982" t="inlineStr">
        <is>
          <t>1996-04-11</t>
        </is>
      </c>
      <c r="V982" t="inlineStr">
        <is>
          <t>1996-04-11</t>
        </is>
      </c>
      <c r="W982" t="inlineStr">
        <is>
          <t>1990-03-19</t>
        </is>
      </c>
      <c r="X982" t="inlineStr">
        <is>
          <t>1990-03-19</t>
        </is>
      </c>
      <c r="Y982" t="n">
        <v>317</v>
      </c>
      <c r="Z982" t="n">
        <v>290</v>
      </c>
      <c r="AA982" t="n">
        <v>297</v>
      </c>
      <c r="AB982" t="n">
        <v>5</v>
      </c>
      <c r="AC982" t="n">
        <v>5</v>
      </c>
      <c r="AD982" t="n">
        <v>15</v>
      </c>
      <c r="AE982" t="n">
        <v>15</v>
      </c>
      <c r="AF982" t="n">
        <v>6</v>
      </c>
      <c r="AG982" t="n">
        <v>6</v>
      </c>
      <c r="AH982" t="n">
        <v>1</v>
      </c>
      <c r="AI982" t="n">
        <v>1</v>
      </c>
      <c r="AJ982" t="n">
        <v>7</v>
      </c>
      <c r="AK982" t="n">
        <v>7</v>
      </c>
      <c r="AL982" t="n">
        <v>4</v>
      </c>
      <c r="AM982" t="n">
        <v>4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HYPERLINK("http://catalog.hathitrust.org/Record/000763570","HathiTrust Record")</f>
        <v/>
      </c>
      <c r="AS982">
        <f>HYPERLINK("https://creighton-primo.hosted.exlibrisgroup.com/primo-explore/search?tab=default_tab&amp;search_scope=EVERYTHING&amp;vid=01CRU&amp;lang=en_US&amp;offset=0&amp;query=any,contains,991005230889702656","Catalog Record")</f>
        <v/>
      </c>
      <c r="AT982">
        <f>HYPERLINK("http://www.worldcat.org/oclc/8762662","WorldCat Record")</f>
        <v/>
      </c>
      <c r="AU982" t="inlineStr">
        <is>
          <t>42856822:eng</t>
        </is>
      </c>
      <c r="AV982" t="inlineStr">
        <is>
          <t>8762662</t>
        </is>
      </c>
      <c r="AW982" t="inlineStr">
        <is>
          <t>991005230889702656</t>
        </is>
      </c>
      <c r="AX982" t="inlineStr">
        <is>
          <t>991005230889702656</t>
        </is>
      </c>
      <c r="AY982" t="inlineStr">
        <is>
          <t>2262957510002656</t>
        </is>
      </c>
      <c r="AZ982" t="inlineStr">
        <is>
          <t>BOOK</t>
        </is>
      </c>
      <c r="BB982" t="inlineStr">
        <is>
          <t>9780882476155</t>
        </is>
      </c>
      <c r="BC982" t="inlineStr">
        <is>
          <t>32285000086289</t>
        </is>
      </c>
      <c r="BD982" t="inlineStr">
        <is>
          <t>893514275</t>
        </is>
      </c>
    </row>
    <row r="983">
      <c r="A983" t="inlineStr">
        <is>
          <t>No</t>
        </is>
      </c>
      <c r="B983" t="inlineStr">
        <is>
          <t>HV741 .F65 1973</t>
        </is>
      </c>
      <c r="C983" t="inlineStr">
        <is>
          <t>0                      HV 0741000F  65          1973</t>
        </is>
      </c>
      <c r="D983" t="inlineStr">
        <is>
          <t>Somewhere a child is crying : maltreatment--causes and prevention / [by] Vincent J. Fontana.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Fontana, Vincent J.</t>
        </is>
      </c>
      <c r="L983" t="inlineStr">
        <is>
          <t>New York : Macmillan, [1973]</t>
        </is>
      </c>
      <c r="M983" t="inlineStr">
        <is>
          <t>1973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HV </t>
        </is>
      </c>
      <c r="S983" t="n">
        <v>6</v>
      </c>
      <c r="T983" t="n">
        <v>6</v>
      </c>
      <c r="U983" t="inlineStr">
        <is>
          <t>1995-11-02</t>
        </is>
      </c>
      <c r="V983" t="inlineStr">
        <is>
          <t>1995-11-02</t>
        </is>
      </c>
      <c r="W983" t="inlineStr">
        <is>
          <t>1994-05-11</t>
        </is>
      </c>
      <c r="X983" t="inlineStr">
        <is>
          <t>1994-05-11</t>
        </is>
      </c>
      <c r="Y983" t="n">
        <v>1128</v>
      </c>
      <c r="Z983" t="n">
        <v>1013</v>
      </c>
      <c r="AA983" t="n">
        <v>1324</v>
      </c>
      <c r="AB983" t="n">
        <v>10</v>
      </c>
      <c r="AC983" t="n">
        <v>16</v>
      </c>
      <c r="AD983" t="n">
        <v>26</v>
      </c>
      <c r="AE983" t="n">
        <v>35</v>
      </c>
      <c r="AF983" t="n">
        <v>10</v>
      </c>
      <c r="AG983" t="n">
        <v>13</v>
      </c>
      <c r="AH983" t="n">
        <v>3</v>
      </c>
      <c r="AI983" t="n">
        <v>5</v>
      </c>
      <c r="AJ983" t="n">
        <v>9</v>
      </c>
      <c r="AK983" t="n">
        <v>10</v>
      </c>
      <c r="AL983" t="n">
        <v>2</v>
      </c>
      <c r="AM983" t="n">
        <v>6</v>
      </c>
      <c r="AN983" t="n">
        <v>6</v>
      </c>
      <c r="AO983" t="n">
        <v>6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HYPERLINK("http://catalog.hathitrust.org/Record/001132516","HathiTrust Record")</f>
        <v/>
      </c>
      <c r="AS983">
        <f>HYPERLINK("https://creighton-primo.hosted.exlibrisgroup.com/primo-explore/search?tab=default_tab&amp;search_scope=EVERYTHING&amp;vid=01CRU&amp;lang=en_US&amp;offset=0&amp;query=any,contains,991003246759702656","Catalog Record")</f>
        <v/>
      </c>
      <c r="AT983">
        <f>HYPERLINK("http://www.worldcat.org/oclc/771314","WorldCat Record")</f>
        <v/>
      </c>
      <c r="AU983" t="inlineStr">
        <is>
          <t>399097:eng</t>
        </is>
      </c>
      <c r="AV983" t="inlineStr">
        <is>
          <t>771314</t>
        </is>
      </c>
      <c r="AW983" t="inlineStr">
        <is>
          <t>991003246759702656</t>
        </is>
      </c>
      <c r="AX983" t="inlineStr">
        <is>
          <t>991003246759702656</t>
        </is>
      </c>
      <c r="AY983" t="inlineStr">
        <is>
          <t>2264951370002656</t>
        </is>
      </c>
      <c r="AZ983" t="inlineStr">
        <is>
          <t>BOOK</t>
        </is>
      </c>
      <c r="BC983" t="inlineStr">
        <is>
          <t>32285001910115</t>
        </is>
      </c>
      <c r="BD983" t="inlineStr">
        <is>
          <t>893352740</t>
        </is>
      </c>
    </row>
    <row r="984">
      <c r="A984" t="inlineStr">
        <is>
          <t>No</t>
        </is>
      </c>
      <c r="B984" t="inlineStr">
        <is>
          <t>HV741 .G37</t>
        </is>
      </c>
      <c r="C984" t="inlineStr">
        <is>
          <t>0                      HV 0741000G  37</t>
        </is>
      </c>
      <c r="D984" t="inlineStr">
        <is>
          <t>Understanding abusive families / James Garbarino, Gwen Gilliam.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Garbarino, James.</t>
        </is>
      </c>
      <c r="L984" t="inlineStr">
        <is>
          <t>Lexington, Mass. : Lexington Books, c1980.</t>
        </is>
      </c>
      <c r="M984" t="inlineStr">
        <is>
          <t>1980</t>
        </is>
      </c>
      <c r="O984" t="inlineStr">
        <is>
          <t>eng</t>
        </is>
      </c>
      <c r="P984" t="inlineStr">
        <is>
          <t>mau</t>
        </is>
      </c>
      <c r="R984" t="inlineStr">
        <is>
          <t xml:space="preserve">HV </t>
        </is>
      </c>
      <c r="S984" t="n">
        <v>9</v>
      </c>
      <c r="T984" t="n">
        <v>9</v>
      </c>
      <c r="U984" t="inlineStr">
        <is>
          <t>1997-09-22</t>
        </is>
      </c>
      <c r="V984" t="inlineStr">
        <is>
          <t>1997-09-22</t>
        </is>
      </c>
      <c r="W984" t="inlineStr">
        <is>
          <t>1990-04-25</t>
        </is>
      </c>
      <c r="X984" t="inlineStr">
        <is>
          <t>1990-04-25</t>
        </is>
      </c>
      <c r="Y984" t="n">
        <v>829</v>
      </c>
      <c r="Z984" t="n">
        <v>720</v>
      </c>
      <c r="AA984" t="n">
        <v>863</v>
      </c>
      <c r="AB984" t="n">
        <v>8</v>
      </c>
      <c r="AC984" t="n">
        <v>10</v>
      </c>
      <c r="AD984" t="n">
        <v>32</v>
      </c>
      <c r="AE984" t="n">
        <v>40</v>
      </c>
      <c r="AF984" t="n">
        <v>14</v>
      </c>
      <c r="AG984" t="n">
        <v>16</v>
      </c>
      <c r="AH984" t="n">
        <v>5</v>
      </c>
      <c r="AI984" t="n">
        <v>7</v>
      </c>
      <c r="AJ984" t="n">
        <v>9</v>
      </c>
      <c r="AK984" t="n">
        <v>13</v>
      </c>
      <c r="AL984" t="n">
        <v>6</v>
      </c>
      <c r="AM984" t="n">
        <v>8</v>
      </c>
      <c r="AN984" t="n">
        <v>4</v>
      </c>
      <c r="AO984" t="n">
        <v>4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HYPERLINK("http://catalog.hathitrust.org/Record/000083932","HathiTrust Record")</f>
        <v/>
      </c>
      <c r="AS984">
        <f>HYPERLINK("https://creighton-primo.hosted.exlibrisgroup.com/primo-explore/search?tab=default_tab&amp;search_scope=EVERYTHING&amp;vid=01CRU&amp;lang=en_US&amp;offset=0&amp;query=any,contains,991004950999702656","Catalog Record")</f>
        <v/>
      </c>
      <c r="AT984">
        <f>HYPERLINK("http://www.worldcat.org/oclc/6249836","WorldCat Record")</f>
        <v/>
      </c>
      <c r="AU984" t="inlineStr">
        <is>
          <t>3353074:eng</t>
        </is>
      </c>
      <c r="AV984" t="inlineStr">
        <is>
          <t>6249836</t>
        </is>
      </c>
      <c r="AW984" t="inlineStr">
        <is>
          <t>991004950999702656</t>
        </is>
      </c>
      <c r="AX984" t="inlineStr">
        <is>
          <t>991004950999702656</t>
        </is>
      </c>
      <c r="AY984" t="inlineStr">
        <is>
          <t>2263069780002656</t>
        </is>
      </c>
      <c r="AZ984" t="inlineStr">
        <is>
          <t>BOOK</t>
        </is>
      </c>
      <c r="BB984" t="inlineStr">
        <is>
          <t>9780669036213</t>
        </is>
      </c>
      <c r="BC984" t="inlineStr">
        <is>
          <t>32285000133131</t>
        </is>
      </c>
      <c r="BD984" t="inlineStr">
        <is>
          <t>893332208</t>
        </is>
      </c>
    </row>
    <row r="985">
      <c r="A985" t="inlineStr">
        <is>
          <t>No</t>
        </is>
      </c>
      <c r="B985" t="inlineStr">
        <is>
          <t>HV741 .G38 1992</t>
        </is>
      </c>
      <c r="C985" t="inlineStr">
        <is>
          <t>0                      HV 0741000G  38          1992</t>
        </is>
      </c>
      <c r="D985" t="inlineStr">
        <is>
          <t>Assuring child support : an extension of Social Security / Irwin Garfinkel.</t>
        </is>
      </c>
      <c r="F985" t="inlineStr">
        <is>
          <t>No</t>
        </is>
      </c>
      <c r="G985" t="inlineStr">
        <is>
          <t>1</t>
        </is>
      </c>
      <c r="H985" t="inlineStr">
        <is>
          <t>Yes</t>
        </is>
      </c>
      <c r="I985" t="inlineStr">
        <is>
          <t>No</t>
        </is>
      </c>
      <c r="J985" t="inlineStr">
        <is>
          <t>0</t>
        </is>
      </c>
      <c r="K985" t="inlineStr">
        <is>
          <t>Garfinkel, Irwin.</t>
        </is>
      </c>
      <c r="L985" t="inlineStr">
        <is>
          <t>New York : Russell Sage Foundation, 1992.</t>
        </is>
      </c>
      <c r="M985" t="inlineStr">
        <is>
          <t>1992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HV </t>
        </is>
      </c>
      <c r="S985" t="n">
        <v>18</v>
      </c>
      <c r="T985" t="n">
        <v>21</v>
      </c>
      <c r="U985" t="inlineStr">
        <is>
          <t>2005-09-26</t>
        </is>
      </c>
      <c r="V985" t="inlineStr">
        <is>
          <t>2005-09-26</t>
        </is>
      </c>
      <c r="W985" t="inlineStr">
        <is>
          <t>1993-03-04</t>
        </is>
      </c>
      <c r="X985" t="inlineStr">
        <is>
          <t>1993-06-07</t>
        </is>
      </c>
      <c r="Y985" t="n">
        <v>583</v>
      </c>
      <c r="Z985" t="n">
        <v>532</v>
      </c>
      <c r="AA985" t="n">
        <v>581</v>
      </c>
      <c r="AB985" t="n">
        <v>4</v>
      </c>
      <c r="AC985" t="n">
        <v>4</v>
      </c>
      <c r="AD985" t="n">
        <v>33</v>
      </c>
      <c r="AE985" t="n">
        <v>35</v>
      </c>
      <c r="AF985" t="n">
        <v>6</v>
      </c>
      <c r="AG985" t="n">
        <v>8</v>
      </c>
      <c r="AH985" t="n">
        <v>7</v>
      </c>
      <c r="AI985" t="n">
        <v>8</v>
      </c>
      <c r="AJ985" t="n">
        <v>10</v>
      </c>
      <c r="AK985" t="n">
        <v>10</v>
      </c>
      <c r="AL985" t="n">
        <v>2</v>
      </c>
      <c r="AM985" t="n">
        <v>2</v>
      </c>
      <c r="AN985" t="n">
        <v>12</v>
      </c>
      <c r="AO985" t="n">
        <v>12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HYPERLINK("https://creighton-primo.hosted.exlibrisgroup.com/primo-explore/search?tab=default_tab&amp;search_scope=EVERYTHING&amp;vid=01CRU&amp;lang=en_US&amp;offset=0&amp;query=any,contains,991001652789702656","Catalog Record")</f>
        <v/>
      </c>
      <c r="AT985">
        <f>HYPERLINK("http://www.worldcat.org/oclc/25712575","WorldCat Record")</f>
        <v/>
      </c>
      <c r="AU985" t="inlineStr">
        <is>
          <t>28515404:eng</t>
        </is>
      </c>
      <c r="AV985" t="inlineStr">
        <is>
          <t>25712575</t>
        </is>
      </c>
      <c r="AW985" t="inlineStr">
        <is>
          <t>991001652789702656</t>
        </is>
      </c>
      <c r="AX985" t="inlineStr">
        <is>
          <t>991001652789702656</t>
        </is>
      </c>
      <c r="AY985" t="inlineStr">
        <is>
          <t>2266458410002656</t>
        </is>
      </c>
      <c r="AZ985" t="inlineStr">
        <is>
          <t>BOOK</t>
        </is>
      </c>
      <c r="BB985" t="inlineStr">
        <is>
          <t>9780871543004</t>
        </is>
      </c>
      <c r="BC985" t="inlineStr">
        <is>
          <t>32285001496867</t>
        </is>
      </c>
      <c r="BD985" t="inlineStr">
        <is>
          <t>893315938</t>
        </is>
      </c>
    </row>
    <row r="986">
      <c r="A986" t="inlineStr">
        <is>
          <t>No</t>
        </is>
      </c>
      <c r="B986" t="inlineStr">
        <is>
          <t>HV741 .G53 1989</t>
        </is>
      </c>
      <c r="C986" t="inlineStr">
        <is>
          <t>0                      HV 0741000G  53          1989</t>
        </is>
      </c>
      <c r="D986" t="inlineStr">
        <is>
          <t>Giving children a chance : the case for more effective national policies / George Miller, editor.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Washington, D.C. : Center for National Policy Press ; Lanham, MD : Distributed by arrangement with UPA, Inc., c1989.</t>
        </is>
      </c>
      <c r="M986" t="inlineStr">
        <is>
          <t>1989</t>
        </is>
      </c>
      <c r="O986" t="inlineStr">
        <is>
          <t>eng</t>
        </is>
      </c>
      <c r="P986" t="inlineStr">
        <is>
          <t>dcu</t>
        </is>
      </c>
      <c r="R986" t="inlineStr">
        <is>
          <t xml:space="preserve">HV </t>
        </is>
      </c>
      <c r="S986" t="n">
        <v>14</v>
      </c>
      <c r="T986" t="n">
        <v>14</v>
      </c>
      <c r="U986" t="inlineStr">
        <is>
          <t>1998-09-25</t>
        </is>
      </c>
      <c r="V986" t="inlineStr">
        <is>
          <t>1998-09-25</t>
        </is>
      </c>
      <c r="W986" t="inlineStr">
        <is>
          <t>1990-03-19</t>
        </is>
      </c>
      <c r="X986" t="inlineStr">
        <is>
          <t>1990-03-19</t>
        </is>
      </c>
      <c r="Y986" t="n">
        <v>205</v>
      </c>
      <c r="Z986" t="n">
        <v>181</v>
      </c>
      <c r="AA986" t="n">
        <v>184</v>
      </c>
      <c r="AB986" t="n">
        <v>3</v>
      </c>
      <c r="AC986" t="n">
        <v>3</v>
      </c>
      <c r="AD986" t="n">
        <v>8</v>
      </c>
      <c r="AE986" t="n">
        <v>8</v>
      </c>
      <c r="AF986" t="n">
        <v>2</v>
      </c>
      <c r="AG986" t="n">
        <v>2</v>
      </c>
      <c r="AH986" t="n">
        <v>2</v>
      </c>
      <c r="AI986" t="n">
        <v>2</v>
      </c>
      <c r="AJ986" t="n">
        <v>3</v>
      </c>
      <c r="AK986" t="n">
        <v>3</v>
      </c>
      <c r="AL986" t="n">
        <v>2</v>
      </c>
      <c r="AM986" t="n">
        <v>2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HYPERLINK("http://catalog.hathitrust.org/Record/001105219","HathiTrust Record")</f>
        <v/>
      </c>
      <c r="AS986">
        <f>HYPERLINK("https://creighton-primo.hosted.exlibrisgroup.com/primo-explore/search?tab=default_tab&amp;search_scope=EVERYTHING&amp;vid=01CRU&amp;lang=en_US&amp;offset=0&amp;query=any,contains,991001416439702656","Catalog Record")</f>
        <v/>
      </c>
      <c r="AT986">
        <f>HYPERLINK("http://www.worldcat.org/oclc/18949360","WorldCat Record")</f>
        <v/>
      </c>
      <c r="AU986" t="inlineStr">
        <is>
          <t>836766528:eng</t>
        </is>
      </c>
      <c r="AV986" t="inlineStr">
        <is>
          <t>18949360</t>
        </is>
      </c>
      <c r="AW986" t="inlineStr">
        <is>
          <t>991001416439702656</t>
        </is>
      </c>
      <c r="AX986" t="inlineStr">
        <is>
          <t>991001416439702656</t>
        </is>
      </c>
      <c r="AY986" t="inlineStr">
        <is>
          <t>2270559000002656</t>
        </is>
      </c>
      <c r="AZ986" t="inlineStr">
        <is>
          <t>BOOK</t>
        </is>
      </c>
      <c r="BB986" t="inlineStr">
        <is>
          <t>9780944237274</t>
        </is>
      </c>
      <c r="BC986" t="inlineStr">
        <is>
          <t>32285000064344</t>
        </is>
      </c>
      <c r="BD986" t="inlineStr">
        <is>
          <t>893785101</t>
        </is>
      </c>
    </row>
    <row r="987">
      <c r="A987" t="inlineStr">
        <is>
          <t>No</t>
        </is>
      </c>
      <c r="B987" t="inlineStr">
        <is>
          <t>HV741 .H338 1996</t>
        </is>
      </c>
      <c r="C987" t="inlineStr">
        <is>
          <t>0                      HV 0741000H  338         1996</t>
        </is>
      </c>
      <c r="D987" t="inlineStr">
        <is>
          <t>Children in jeopardy : can we break the cycle of poverty? / Irving B. Harris.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Harris, Irving B. (Irving Brooks), 1910-2004.</t>
        </is>
      </c>
      <c r="L987" t="inlineStr">
        <is>
          <t>New Haven : Yale Child Study Center : Distributed by Yale University Press, c1996.</t>
        </is>
      </c>
      <c r="M987" t="inlineStr">
        <is>
          <t>1996</t>
        </is>
      </c>
      <c r="O987" t="inlineStr">
        <is>
          <t>eng</t>
        </is>
      </c>
      <c r="P987" t="inlineStr">
        <is>
          <t>ctu</t>
        </is>
      </c>
      <c r="Q987" t="inlineStr">
        <is>
          <t>The Yale Child Study Center monograph series on child psychiatry, child development, and social policy ; vol. 1</t>
        </is>
      </c>
      <c r="R987" t="inlineStr">
        <is>
          <t xml:space="preserve">HV </t>
        </is>
      </c>
      <c r="S987" t="n">
        <v>7</v>
      </c>
      <c r="T987" t="n">
        <v>7</v>
      </c>
      <c r="U987" t="inlineStr">
        <is>
          <t>2006-10-29</t>
        </is>
      </c>
      <c r="V987" t="inlineStr">
        <is>
          <t>2006-10-29</t>
        </is>
      </c>
      <c r="W987" t="inlineStr">
        <is>
          <t>2001-04-09</t>
        </is>
      </c>
      <c r="X987" t="inlineStr">
        <is>
          <t>2001-04-09</t>
        </is>
      </c>
      <c r="Y987" t="n">
        <v>658</v>
      </c>
      <c r="Z987" t="n">
        <v>589</v>
      </c>
      <c r="AA987" t="n">
        <v>755</v>
      </c>
      <c r="AB987" t="n">
        <v>6</v>
      </c>
      <c r="AC987" t="n">
        <v>6</v>
      </c>
      <c r="AD987" t="n">
        <v>27</v>
      </c>
      <c r="AE987" t="n">
        <v>34</v>
      </c>
      <c r="AF987" t="n">
        <v>11</v>
      </c>
      <c r="AG987" t="n">
        <v>16</v>
      </c>
      <c r="AH987" t="n">
        <v>7</v>
      </c>
      <c r="AI987" t="n">
        <v>9</v>
      </c>
      <c r="AJ987" t="n">
        <v>14</v>
      </c>
      <c r="AK987" t="n">
        <v>15</v>
      </c>
      <c r="AL987" t="n">
        <v>5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HYPERLINK("https://creighton-primo.hosted.exlibrisgroup.com/primo-explore/search?tab=default_tab&amp;search_scope=EVERYTHING&amp;vid=01CRU&amp;lang=en_US&amp;offset=0&amp;query=any,contains,991003474179702656","Catalog Record")</f>
        <v/>
      </c>
      <c r="AT987">
        <f>HYPERLINK("http://www.worldcat.org/oclc/34283281","WorldCat Record")</f>
        <v/>
      </c>
      <c r="AU987" t="inlineStr">
        <is>
          <t>905751389:eng</t>
        </is>
      </c>
      <c r="AV987" t="inlineStr">
        <is>
          <t>34283281</t>
        </is>
      </c>
      <c r="AW987" t="inlineStr">
        <is>
          <t>991003474179702656</t>
        </is>
      </c>
      <c r="AX987" t="inlineStr">
        <is>
          <t>991003474179702656</t>
        </is>
      </c>
      <c r="AY987" t="inlineStr">
        <is>
          <t>2257485470002656</t>
        </is>
      </c>
      <c r="AZ987" t="inlineStr">
        <is>
          <t>BOOK</t>
        </is>
      </c>
      <c r="BB987" t="inlineStr">
        <is>
          <t>9780300068924</t>
        </is>
      </c>
      <c r="BC987" t="inlineStr">
        <is>
          <t>32285004310800</t>
        </is>
      </c>
      <c r="BD987" t="inlineStr">
        <is>
          <t>893627600</t>
        </is>
      </c>
    </row>
    <row r="988">
      <c r="A988" t="inlineStr">
        <is>
          <t>No</t>
        </is>
      </c>
      <c r="B988" t="inlineStr">
        <is>
          <t>HV741 .H4 1974</t>
        </is>
      </c>
      <c r="C988" t="inlineStr">
        <is>
          <t>0                      HV 0741000H  4           1974</t>
        </is>
      </c>
      <c r="D988" t="inlineStr">
        <is>
          <t>The battered child / edited by Ray E. Helfer and C. Henry Kempe.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Yes</t>
        </is>
      </c>
      <c r="J988" t="inlineStr">
        <is>
          <t>0</t>
        </is>
      </c>
      <c r="K988" t="inlineStr">
        <is>
          <t>Helfer, Ray E.</t>
        </is>
      </c>
      <c r="L988" t="inlineStr">
        <is>
          <t>Chicago : University of Chicago Press, 1974.</t>
        </is>
      </c>
      <c r="M988" t="inlineStr">
        <is>
          <t>1974</t>
        </is>
      </c>
      <c r="N988" t="inlineStr">
        <is>
          <t>2d ed.</t>
        </is>
      </c>
      <c r="O988" t="inlineStr">
        <is>
          <t>eng</t>
        </is>
      </c>
      <c r="P988" t="inlineStr">
        <is>
          <t>ilu</t>
        </is>
      </c>
      <c r="R988" t="inlineStr">
        <is>
          <t xml:space="preserve">HV </t>
        </is>
      </c>
      <c r="S988" t="n">
        <v>10</v>
      </c>
      <c r="T988" t="n">
        <v>10</v>
      </c>
      <c r="U988" t="inlineStr">
        <is>
          <t>1995-09-25</t>
        </is>
      </c>
      <c r="V988" t="inlineStr">
        <is>
          <t>1995-09-25</t>
        </is>
      </c>
      <c r="W988" t="inlineStr">
        <is>
          <t>1991-10-16</t>
        </is>
      </c>
      <c r="X988" t="inlineStr">
        <is>
          <t>1991-10-16</t>
        </is>
      </c>
      <c r="Y988" t="n">
        <v>952</v>
      </c>
      <c r="Z988" t="n">
        <v>829</v>
      </c>
      <c r="AA988" t="n">
        <v>2030</v>
      </c>
      <c r="AB988" t="n">
        <v>4</v>
      </c>
      <c r="AC988" t="n">
        <v>20</v>
      </c>
      <c r="AD988" t="n">
        <v>24</v>
      </c>
      <c r="AE988" t="n">
        <v>71</v>
      </c>
      <c r="AF988" t="n">
        <v>8</v>
      </c>
      <c r="AG988" t="n">
        <v>20</v>
      </c>
      <c r="AH988" t="n">
        <v>4</v>
      </c>
      <c r="AI988" t="n">
        <v>9</v>
      </c>
      <c r="AJ988" t="n">
        <v>10</v>
      </c>
      <c r="AK988" t="n">
        <v>23</v>
      </c>
      <c r="AL988" t="n">
        <v>2</v>
      </c>
      <c r="AM988" t="n">
        <v>10</v>
      </c>
      <c r="AN988" t="n">
        <v>4</v>
      </c>
      <c r="AO988" t="n">
        <v>20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HYPERLINK("https://creighton-primo.hosted.exlibrisgroup.com/primo-explore/search?tab=default_tab&amp;search_scope=EVERYTHING&amp;vid=01CRU&amp;lang=en_US&amp;offset=0&amp;query=any,contains,991003451139702656","Catalog Record")</f>
        <v/>
      </c>
      <c r="AT988">
        <f>HYPERLINK("http://www.worldcat.org/oclc/989130","WorldCat Record")</f>
        <v/>
      </c>
      <c r="AU988" t="inlineStr">
        <is>
          <t>1090968757:eng</t>
        </is>
      </c>
      <c r="AV988" t="inlineStr">
        <is>
          <t>989130</t>
        </is>
      </c>
      <c r="AW988" t="inlineStr">
        <is>
          <t>991003451139702656</t>
        </is>
      </c>
      <c r="AX988" t="inlineStr">
        <is>
          <t>991003451139702656</t>
        </is>
      </c>
      <c r="AY988" t="inlineStr">
        <is>
          <t>2269365910002656</t>
        </is>
      </c>
      <c r="AZ988" t="inlineStr">
        <is>
          <t>BOOK</t>
        </is>
      </c>
      <c r="BB988" t="inlineStr">
        <is>
          <t>9780226326290</t>
        </is>
      </c>
      <c r="BC988" t="inlineStr">
        <is>
          <t>32285000773969</t>
        </is>
      </c>
      <c r="BD988" t="inlineStr">
        <is>
          <t>893317987</t>
        </is>
      </c>
    </row>
    <row r="989">
      <c r="A989" t="inlineStr">
        <is>
          <t>No</t>
        </is>
      </c>
      <c r="B989" t="inlineStr">
        <is>
          <t>HV741 .H47</t>
        </is>
      </c>
      <c r="C989" t="inlineStr">
        <is>
          <t>0                      HV 0741000H  47</t>
        </is>
      </c>
      <c r="D989" t="inlineStr">
        <is>
          <t>Breaking the cycle of child abuse / by Christine Comstock Herbruck.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Herbruck, Christine Comstock.</t>
        </is>
      </c>
      <c r="L989" t="inlineStr">
        <is>
          <t>Minneapolis : Winston Press, c1979.</t>
        </is>
      </c>
      <c r="M989" t="inlineStr">
        <is>
          <t>1979</t>
        </is>
      </c>
      <c r="O989" t="inlineStr">
        <is>
          <t>eng</t>
        </is>
      </c>
      <c r="P989" t="inlineStr">
        <is>
          <t>mnu</t>
        </is>
      </c>
      <c r="R989" t="inlineStr">
        <is>
          <t xml:space="preserve">HV </t>
        </is>
      </c>
      <c r="S989" t="n">
        <v>16</v>
      </c>
      <c r="T989" t="n">
        <v>16</v>
      </c>
      <c r="U989" t="inlineStr">
        <is>
          <t>1995-09-27</t>
        </is>
      </c>
      <c r="V989" t="inlineStr">
        <is>
          <t>1995-09-27</t>
        </is>
      </c>
      <c r="W989" t="inlineStr">
        <is>
          <t>1990-04-25</t>
        </is>
      </c>
      <c r="X989" t="inlineStr">
        <is>
          <t>1990-04-25</t>
        </is>
      </c>
      <c r="Y989" t="n">
        <v>533</v>
      </c>
      <c r="Z989" t="n">
        <v>476</v>
      </c>
      <c r="AA989" t="n">
        <v>482</v>
      </c>
      <c r="AB989" t="n">
        <v>4</v>
      </c>
      <c r="AC989" t="n">
        <v>4</v>
      </c>
      <c r="AD989" t="n">
        <v>14</v>
      </c>
      <c r="AE989" t="n">
        <v>14</v>
      </c>
      <c r="AF989" t="n">
        <v>4</v>
      </c>
      <c r="AG989" t="n">
        <v>4</v>
      </c>
      <c r="AH989" t="n">
        <v>2</v>
      </c>
      <c r="AI989" t="n">
        <v>2</v>
      </c>
      <c r="AJ989" t="n">
        <v>9</v>
      </c>
      <c r="AK989" t="n">
        <v>9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Yes</t>
        </is>
      </c>
      <c r="AR989">
        <f>HYPERLINK("http://catalog.hathitrust.org/Record/000302836","HathiTrust Record")</f>
        <v/>
      </c>
      <c r="AS989">
        <f>HYPERLINK("https://creighton-primo.hosted.exlibrisgroup.com/primo-explore/search?tab=default_tab&amp;search_scope=EVERYTHING&amp;vid=01CRU&amp;lang=en_US&amp;offset=0&amp;query=any,contains,991005250359702656","Catalog Record")</f>
        <v/>
      </c>
      <c r="AT989">
        <f>HYPERLINK("http://www.worldcat.org/oclc/5068146","WorldCat Record")</f>
        <v/>
      </c>
      <c r="AU989" t="inlineStr">
        <is>
          <t>401307:eng</t>
        </is>
      </c>
      <c r="AV989" t="inlineStr">
        <is>
          <t>5068146</t>
        </is>
      </c>
      <c r="AW989" t="inlineStr">
        <is>
          <t>991005250359702656</t>
        </is>
      </c>
      <c r="AX989" t="inlineStr">
        <is>
          <t>991005250359702656</t>
        </is>
      </c>
      <c r="AY989" t="inlineStr">
        <is>
          <t>2266817390002656</t>
        </is>
      </c>
      <c r="AZ989" t="inlineStr">
        <is>
          <t>BOOK</t>
        </is>
      </c>
      <c r="BB989" t="inlineStr">
        <is>
          <t>9780030456916</t>
        </is>
      </c>
      <c r="BC989" t="inlineStr">
        <is>
          <t>32285000133149</t>
        </is>
      </c>
      <c r="BD989" t="inlineStr">
        <is>
          <t>893877193</t>
        </is>
      </c>
    </row>
    <row r="990">
      <c r="A990" t="inlineStr">
        <is>
          <t>No</t>
        </is>
      </c>
      <c r="B990" t="inlineStr">
        <is>
          <t>HV741 .I537 1997</t>
        </is>
      </c>
      <c r="C990" t="inlineStr">
        <is>
          <t>0                      HV 0741000I  537         1997</t>
        </is>
      </c>
      <c r="D990" t="inlineStr">
        <is>
          <t>Indicators of children's well-being / Robert M. Hauser, Brett V. Brown, William R. Prosser, editors.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L990" t="inlineStr">
        <is>
          <t>New York : Russell Sage Foundation, c1997.</t>
        </is>
      </c>
      <c r="M990" t="inlineStr">
        <is>
          <t>1997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HV </t>
        </is>
      </c>
      <c r="S990" t="n">
        <v>8</v>
      </c>
      <c r="T990" t="n">
        <v>8</v>
      </c>
      <c r="U990" t="inlineStr">
        <is>
          <t>2006-10-29</t>
        </is>
      </c>
      <c r="V990" t="inlineStr">
        <is>
          <t>2006-10-29</t>
        </is>
      </c>
      <c r="W990" t="inlineStr">
        <is>
          <t>1999-04-13</t>
        </is>
      </c>
      <c r="X990" t="inlineStr">
        <is>
          <t>1999-04-13</t>
        </is>
      </c>
      <c r="Y990" t="n">
        <v>489</v>
      </c>
      <c r="Z990" t="n">
        <v>429</v>
      </c>
      <c r="AA990" t="n">
        <v>469</v>
      </c>
      <c r="AB990" t="n">
        <v>3</v>
      </c>
      <c r="AC990" t="n">
        <v>3</v>
      </c>
      <c r="AD990" t="n">
        <v>27</v>
      </c>
      <c r="AE990" t="n">
        <v>29</v>
      </c>
      <c r="AF990" t="n">
        <v>9</v>
      </c>
      <c r="AG990" t="n">
        <v>11</v>
      </c>
      <c r="AH990" t="n">
        <v>8</v>
      </c>
      <c r="AI990" t="n">
        <v>9</v>
      </c>
      <c r="AJ990" t="n">
        <v>17</v>
      </c>
      <c r="AK990" t="n">
        <v>17</v>
      </c>
      <c r="AL990" t="n">
        <v>2</v>
      </c>
      <c r="AM990" t="n">
        <v>2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HYPERLINK("https://creighton-primo.hosted.exlibrisgroup.com/primo-explore/search?tab=default_tab&amp;search_scope=EVERYTHING&amp;vid=01CRU&amp;lang=en_US&amp;offset=0&amp;query=any,contains,991005426109702656","Catalog Record")</f>
        <v/>
      </c>
      <c r="AT990">
        <f>HYPERLINK("http://www.worldcat.org/oclc/36663079","WorldCat Record")</f>
        <v/>
      </c>
      <c r="AU990" t="inlineStr">
        <is>
          <t>366560111:eng</t>
        </is>
      </c>
      <c r="AV990" t="inlineStr">
        <is>
          <t>36663079</t>
        </is>
      </c>
      <c r="AW990" t="inlineStr">
        <is>
          <t>991005426109702656</t>
        </is>
      </c>
      <c r="AX990" t="inlineStr">
        <is>
          <t>991005426109702656</t>
        </is>
      </c>
      <c r="AY990" t="inlineStr">
        <is>
          <t>2260550660002656</t>
        </is>
      </c>
      <c r="AZ990" t="inlineStr">
        <is>
          <t>BOOK</t>
        </is>
      </c>
      <c r="BB990" t="inlineStr">
        <is>
          <t>9780871543868</t>
        </is>
      </c>
      <c r="BC990" t="inlineStr">
        <is>
          <t>32285003551974</t>
        </is>
      </c>
      <c r="BD990" t="inlineStr">
        <is>
          <t>893871174</t>
        </is>
      </c>
    </row>
    <row r="991">
      <c r="A991" t="inlineStr">
        <is>
          <t>No</t>
        </is>
      </c>
      <c r="B991" t="inlineStr">
        <is>
          <t>HV741 .I7 1998</t>
        </is>
      </c>
      <c r="C991" t="inlineStr">
        <is>
          <t>0                      HV 0741000I  7           1998</t>
        </is>
      </c>
      <c r="D991" t="inlineStr">
        <is>
          <t>Invisible children in the society and its schools / edited by Sue Books.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Yes</t>
        </is>
      </c>
      <c r="J991" t="inlineStr">
        <is>
          <t>0</t>
        </is>
      </c>
      <c r="L991" t="inlineStr">
        <is>
          <t>Mahwah, N.J. : Lawrence Erlbaum Associates, 1998.</t>
        </is>
      </c>
      <c r="M991" t="inlineStr">
        <is>
          <t>1998</t>
        </is>
      </c>
      <c r="O991" t="inlineStr">
        <is>
          <t>eng</t>
        </is>
      </c>
      <c r="P991" t="inlineStr">
        <is>
          <t>nju</t>
        </is>
      </c>
      <c r="Q991" t="inlineStr">
        <is>
          <t>Sociocultural, political, and historical studies in education</t>
        </is>
      </c>
      <c r="R991" t="inlineStr">
        <is>
          <t xml:space="preserve">HV </t>
        </is>
      </c>
      <c r="S991" t="n">
        <v>7</v>
      </c>
      <c r="T991" t="n">
        <v>7</v>
      </c>
      <c r="U991" t="inlineStr">
        <is>
          <t>2008-11-17</t>
        </is>
      </c>
      <c r="V991" t="inlineStr">
        <is>
          <t>2008-11-17</t>
        </is>
      </c>
      <c r="W991" t="inlineStr">
        <is>
          <t>1998-08-11</t>
        </is>
      </c>
      <c r="X991" t="inlineStr">
        <is>
          <t>1998-08-11</t>
        </is>
      </c>
      <c r="Y991" t="n">
        <v>526</v>
      </c>
      <c r="Z991" t="n">
        <v>477</v>
      </c>
      <c r="AA991" t="n">
        <v>1269</v>
      </c>
      <c r="AB991" t="n">
        <v>3</v>
      </c>
      <c r="AC991" t="n">
        <v>30</v>
      </c>
      <c r="AD991" t="n">
        <v>23</v>
      </c>
      <c r="AE991" t="n">
        <v>48</v>
      </c>
      <c r="AF991" t="n">
        <v>8</v>
      </c>
      <c r="AG991" t="n">
        <v>16</v>
      </c>
      <c r="AH991" t="n">
        <v>5</v>
      </c>
      <c r="AI991" t="n">
        <v>7</v>
      </c>
      <c r="AJ991" t="n">
        <v>15</v>
      </c>
      <c r="AK991" t="n">
        <v>18</v>
      </c>
      <c r="AL991" t="n">
        <v>2</v>
      </c>
      <c r="AM991" t="n">
        <v>15</v>
      </c>
      <c r="AN991" t="n">
        <v>0</v>
      </c>
      <c r="AO991" t="n">
        <v>1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HYPERLINK("http://catalog.hathitrust.org/Record/003961477","HathiTrust Record")</f>
        <v/>
      </c>
      <c r="AS991">
        <f>HYPERLINK("https://creighton-primo.hosted.exlibrisgroup.com/primo-explore/search?tab=default_tab&amp;search_scope=EVERYTHING&amp;vid=01CRU&amp;lang=en_US&amp;offset=0&amp;query=any,contains,991002836849702656","Catalog Record")</f>
        <v/>
      </c>
      <c r="AT991">
        <f>HYPERLINK("http://www.worldcat.org/oclc/37361792","WorldCat Record")</f>
        <v/>
      </c>
      <c r="AU991" t="inlineStr">
        <is>
          <t>866492815:eng</t>
        </is>
      </c>
      <c r="AV991" t="inlineStr">
        <is>
          <t>37361792</t>
        </is>
      </c>
      <c r="AW991" t="inlineStr">
        <is>
          <t>991002836849702656</t>
        </is>
      </c>
      <c r="AX991" t="inlineStr">
        <is>
          <t>991002836849702656</t>
        </is>
      </c>
      <c r="AY991" t="inlineStr">
        <is>
          <t>2268115680002656</t>
        </is>
      </c>
      <c r="AZ991" t="inlineStr">
        <is>
          <t>BOOK</t>
        </is>
      </c>
      <c r="BB991" t="inlineStr">
        <is>
          <t>9780805823684</t>
        </is>
      </c>
      <c r="BC991" t="inlineStr">
        <is>
          <t>32285003451829</t>
        </is>
      </c>
      <c r="BD991" t="inlineStr">
        <is>
          <t>893799086</t>
        </is>
      </c>
    </row>
    <row r="992">
      <c r="A992" t="inlineStr">
        <is>
          <t>No</t>
        </is>
      </c>
      <c r="B992" t="inlineStr">
        <is>
          <t>HV741 .J63 1999</t>
        </is>
      </c>
      <c r="C992" t="inlineStr">
        <is>
          <t>0                      HV 0741000J  63          1999</t>
        </is>
      </c>
      <c r="D992" t="inlineStr">
        <is>
          <t>Fathers' fair share : helping poor men manage child support and fatherhood / Earl S. Johnson, Ann Levine, and Fred C. Doolittle.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Johnson, Earl S.</t>
        </is>
      </c>
      <c r="L992" t="inlineStr">
        <is>
          <t>New York : Russell Sage Foundation, c1999.</t>
        </is>
      </c>
      <c r="M992" t="inlineStr">
        <is>
          <t>1999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HV </t>
        </is>
      </c>
      <c r="S992" t="n">
        <v>4</v>
      </c>
      <c r="T992" t="n">
        <v>4</v>
      </c>
      <c r="U992" t="inlineStr">
        <is>
          <t>2007-11-27</t>
        </is>
      </c>
      <c r="V992" t="inlineStr">
        <is>
          <t>2007-11-27</t>
        </is>
      </c>
      <c r="W992" t="inlineStr">
        <is>
          <t>1999-04-26</t>
        </is>
      </c>
      <c r="X992" t="inlineStr">
        <is>
          <t>1999-04-26</t>
        </is>
      </c>
      <c r="Y992" t="n">
        <v>535</v>
      </c>
      <c r="Z992" t="n">
        <v>501</v>
      </c>
      <c r="AA992" t="n">
        <v>544</v>
      </c>
      <c r="AB992" t="n">
        <v>6</v>
      </c>
      <c r="AC992" t="n">
        <v>6</v>
      </c>
      <c r="AD992" t="n">
        <v>27</v>
      </c>
      <c r="AE992" t="n">
        <v>28</v>
      </c>
      <c r="AF992" t="n">
        <v>7</v>
      </c>
      <c r="AG992" t="n">
        <v>8</v>
      </c>
      <c r="AH992" t="n">
        <v>6</v>
      </c>
      <c r="AI992" t="n">
        <v>6</v>
      </c>
      <c r="AJ992" t="n">
        <v>14</v>
      </c>
      <c r="AK992" t="n">
        <v>14</v>
      </c>
      <c r="AL992" t="n">
        <v>5</v>
      </c>
      <c r="AM992" t="n">
        <v>5</v>
      </c>
      <c r="AN992" t="n">
        <v>2</v>
      </c>
      <c r="AO992" t="n">
        <v>2</v>
      </c>
      <c r="AP992" t="inlineStr">
        <is>
          <t>No</t>
        </is>
      </c>
      <c r="AQ992" t="inlineStr">
        <is>
          <t>No</t>
        </is>
      </c>
      <c r="AS992">
        <f>HYPERLINK("https://creighton-primo.hosted.exlibrisgroup.com/primo-explore/search?tab=default_tab&amp;search_scope=EVERYTHING&amp;vid=01CRU&amp;lang=en_US&amp;offset=0&amp;query=any,contains,991005429569702656","Catalog Record")</f>
        <v/>
      </c>
      <c r="AT992">
        <f>HYPERLINK("http://www.worldcat.org/oclc/40113509","WorldCat Record")</f>
        <v/>
      </c>
      <c r="AU992" t="inlineStr">
        <is>
          <t>477655899:eng</t>
        </is>
      </c>
      <c r="AV992" t="inlineStr">
        <is>
          <t>40113509</t>
        </is>
      </c>
      <c r="AW992" t="inlineStr">
        <is>
          <t>991005429569702656</t>
        </is>
      </c>
      <c r="AX992" t="inlineStr">
        <is>
          <t>991005429569702656</t>
        </is>
      </c>
      <c r="AY992" t="inlineStr">
        <is>
          <t>2255185300002656</t>
        </is>
      </c>
      <c r="AZ992" t="inlineStr">
        <is>
          <t>BOOK</t>
        </is>
      </c>
      <c r="BB992" t="inlineStr">
        <is>
          <t>9780871544117</t>
        </is>
      </c>
      <c r="BC992" t="inlineStr">
        <is>
          <t>32285003555470</t>
        </is>
      </c>
      <c r="BD992" t="inlineStr">
        <is>
          <t>893254998</t>
        </is>
      </c>
    </row>
    <row r="993">
      <c r="A993" t="inlineStr">
        <is>
          <t>No</t>
        </is>
      </c>
      <c r="B993" t="inlineStr">
        <is>
          <t>HV741 .K44</t>
        </is>
      </c>
      <c r="C993" t="inlineStr">
        <is>
          <t>0                      HV 0741000K  44</t>
        </is>
      </c>
      <c r="D993" t="inlineStr">
        <is>
          <t>Child abuse / Ruth S. Kempe and C. Henry Kempe.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Kempe, Ruth S.</t>
        </is>
      </c>
      <c r="L993" t="inlineStr">
        <is>
          <t>Cambridge, Mass. : Harvard University Press, 1978.</t>
        </is>
      </c>
      <c r="M993" t="inlineStr">
        <is>
          <t>1978</t>
        </is>
      </c>
      <c r="O993" t="inlineStr">
        <is>
          <t>eng</t>
        </is>
      </c>
      <c r="P993" t="inlineStr">
        <is>
          <t>mau</t>
        </is>
      </c>
      <c r="Q993" t="inlineStr">
        <is>
          <t>The Developing child</t>
        </is>
      </c>
      <c r="R993" t="inlineStr">
        <is>
          <t xml:space="preserve">HV </t>
        </is>
      </c>
      <c r="S993" t="n">
        <v>12</v>
      </c>
      <c r="T993" t="n">
        <v>12</v>
      </c>
      <c r="U993" t="inlineStr">
        <is>
          <t>2000-02-06</t>
        </is>
      </c>
      <c r="V993" t="inlineStr">
        <is>
          <t>2000-02-06</t>
        </is>
      </c>
      <c r="W993" t="inlineStr">
        <is>
          <t>1992-04-08</t>
        </is>
      </c>
      <c r="X993" t="inlineStr">
        <is>
          <t>1992-04-08</t>
        </is>
      </c>
      <c r="Y993" t="n">
        <v>1462</v>
      </c>
      <c r="Z993" t="n">
        <v>1346</v>
      </c>
      <c r="AA993" t="n">
        <v>1367</v>
      </c>
      <c r="AB993" t="n">
        <v>13</v>
      </c>
      <c r="AC993" t="n">
        <v>13</v>
      </c>
      <c r="AD993" t="n">
        <v>41</v>
      </c>
      <c r="AE993" t="n">
        <v>43</v>
      </c>
      <c r="AF993" t="n">
        <v>15</v>
      </c>
      <c r="AG993" t="n">
        <v>16</v>
      </c>
      <c r="AH993" t="n">
        <v>8</v>
      </c>
      <c r="AI993" t="n">
        <v>8</v>
      </c>
      <c r="AJ993" t="n">
        <v>16</v>
      </c>
      <c r="AK993" t="n">
        <v>16</v>
      </c>
      <c r="AL993" t="n">
        <v>9</v>
      </c>
      <c r="AM993" t="n">
        <v>9</v>
      </c>
      <c r="AN993" t="n">
        <v>2</v>
      </c>
      <c r="AO993" t="n">
        <v>3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HYPERLINK("http://catalog.hathitrust.org/Record/000135701","HathiTrust Record")</f>
        <v/>
      </c>
      <c r="AS993">
        <f>HYPERLINK("https://creighton-primo.hosted.exlibrisgroup.com/primo-explore/search?tab=default_tab&amp;search_scope=EVERYTHING&amp;vid=01CRU&amp;lang=en_US&amp;offset=0&amp;query=any,contains,991004530859702656","Catalog Record")</f>
        <v/>
      </c>
      <c r="AT993">
        <f>HYPERLINK("http://www.worldcat.org/oclc/3845307","WorldCat Record")</f>
        <v/>
      </c>
      <c r="AU993" t="inlineStr">
        <is>
          <t>520911:eng</t>
        </is>
      </c>
      <c r="AV993" t="inlineStr">
        <is>
          <t>3845307</t>
        </is>
      </c>
      <c r="AW993" t="inlineStr">
        <is>
          <t>991004530859702656</t>
        </is>
      </c>
      <c r="AX993" t="inlineStr">
        <is>
          <t>991004530859702656</t>
        </is>
      </c>
      <c r="AY993" t="inlineStr">
        <is>
          <t>2262552610002656</t>
        </is>
      </c>
      <c r="AZ993" t="inlineStr">
        <is>
          <t>BOOK</t>
        </is>
      </c>
      <c r="BB993" t="inlineStr">
        <is>
          <t>9780674114258</t>
        </is>
      </c>
      <c r="BC993" t="inlineStr">
        <is>
          <t>32285001056430</t>
        </is>
      </c>
      <c r="BD993" t="inlineStr">
        <is>
          <t>893526215</t>
        </is>
      </c>
    </row>
    <row r="994">
      <c r="A994" t="inlineStr">
        <is>
          <t>No</t>
        </is>
      </c>
      <c r="B994" t="inlineStr">
        <is>
          <t>HV741 .L4</t>
        </is>
      </c>
      <c r="C994" t="inlineStr">
        <is>
          <t>0                      HV 0741000L  4</t>
        </is>
      </c>
      <c r="D994" t="inlineStr">
        <is>
          <t>The battered child : selected readings / [compiled by] Jerome E. Leavitt.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Leavitt, Jerome E. (Jerome Edward), 1916-2003, compiler.</t>
        </is>
      </c>
      <c r="L994" t="inlineStr">
        <is>
          <t>[Morristown, N.J. : General Learning Press, 1974]</t>
        </is>
      </c>
      <c r="M994" t="inlineStr">
        <is>
          <t>1974</t>
        </is>
      </c>
      <c r="O994" t="inlineStr">
        <is>
          <t>eng</t>
        </is>
      </c>
      <c r="P994" t="inlineStr">
        <is>
          <t>nju</t>
        </is>
      </c>
      <c r="R994" t="inlineStr">
        <is>
          <t xml:space="preserve">HV </t>
        </is>
      </c>
      <c r="S994" t="n">
        <v>11</v>
      </c>
      <c r="T994" t="n">
        <v>11</v>
      </c>
      <c r="U994" t="inlineStr">
        <is>
          <t>2006-11-07</t>
        </is>
      </c>
      <c r="V994" t="inlineStr">
        <is>
          <t>2006-11-07</t>
        </is>
      </c>
      <c r="W994" t="inlineStr">
        <is>
          <t>1990-03-12</t>
        </is>
      </c>
      <c r="X994" t="inlineStr">
        <is>
          <t>1990-03-12</t>
        </is>
      </c>
      <c r="Y994" t="n">
        <v>446</v>
      </c>
      <c r="Z994" t="n">
        <v>362</v>
      </c>
      <c r="AA994" t="n">
        <v>365</v>
      </c>
      <c r="AB994" t="n">
        <v>5</v>
      </c>
      <c r="AC994" t="n">
        <v>5</v>
      </c>
      <c r="AD994" t="n">
        <v>10</v>
      </c>
      <c r="AE994" t="n">
        <v>10</v>
      </c>
      <c r="AF994" t="n">
        <v>3</v>
      </c>
      <c r="AG994" t="n">
        <v>3</v>
      </c>
      <c r="AH994" t="n">
        <v>1</v>
      </c>
      <c r="AI994" t="n">
        <v>1</v>
      </c>
      <c r="AJ994" t="n">
        <v>4</v>
      </c>
      <c r="AK994" t="n">
        <v>4</v>
      </c>
      <c r="AL994" t="n">
        <v>3</v>
      </c>
      <c r="AM994" t="n">
        <v>3</v>
      </c>
      <c r="AN994" t="n">
        <v>1</v>
      </c>
      <c r="AO994" t="n">
        <v>1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HYPERLINK("http://catalog.hathitrust.org/Record/000013368","HathiTrust Record")</f>
        <v/>
      </c>
      <c r="AS994">
        <f>HYPERLINK("https://creighton-primo.hosted.exlibrisgroup.com/primo-explore/search?tab=default_tab&amp;search_scope=EVERYTHING&amp;vid=01CRU&amp;lang=en_US&amp;offset=0&amp;query=any,contains,991003334959702656","Catalog Record")</f>
        <v/>
      </c>
      <c r="AT994">
        <f>HYPERLINK("http://www.worldcat.org/oclc/866256","WorldCat Record")</f>
        <v/>
      </c>
      <c r="AU994" t="inlineStr">
        <is>
          <t>370263809:eng</t>
        </is>
      </c>
      <c r="AV994" t="inlineStr">
        <is>
          <t>866256</t>
        </is>
      </c>
      <c r="AW994" t="inlineStr">
        <is>
          <t>991003334959702656</t>
        </is>
      </c>
      <c r="AX994" t="inlineStr">
        <is>
          <t>991003334959702656</t>
        </is>
      </c>
      <c r="AY994" t="inlineStr">
        <is>
          <t>2262792220002656</t>
        </is>
      </c>
      <c r="AZ994" t="inlineStr">
        <is>
          <t>BOOK</t>
        </is>
      </c>
      <c r="BB994" t="inlineStr">
        <is>
          <t>9780382180781</t>
        </is>
      </c>
      <c r="BC994" t="inlineStr">
        <is>
          <t>32285000081652</t>
        </is>
      </c>
      <c r="BD994" t="inlineStr">
        <is>
          <t>893881063</t>
        </is>
      </c>
    </row>
    <row r="995">
      <c r="A995" t="inlineStr">
        <is>
          <t>No</t>
        </is>
      </c>
      <c r="B995" t="inlineStr">
        <is>
          <t>HV741 .L445 1992</t>
        </is>
      </c>
      <c r="C995" t="inlineStr">
        <is>
          <t>0                      HV 0741000L  445         1992</t>
        </is>
      </c>
      <c r="D995" t="inlineStr">
        <is>
          <t>Helping children : a social history / Murray Levine and Adeline Levine.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Levine, Murray, 1928-</t>
        </is>
      </c>
      <c r="L995" t="inlineStr">
        <is>
          <t>New York : Oxford University Press, 1992.</t>
        </is>
      </c>
      <c r="M995" t="inlineStr">
        <is>
          <t>1992</t>
        </is>
      </c>
      <c r="O995" t="inlineStr">
        <is>
          <t>eng</t>
        </is>
      </c>
      <c r="P995" t="inlineStr">
        <is>
          <t>nyu</t>
        </is>
      </c>
      <c r="R995" t="inlineStr">
        <is>
          <t xml:space="preserve">HV </t>
        </is>
      </c>
      <c r="S995" t="n">
        <v>12</v>
      </c>
      <c r="T995" t="n">
        <v>12</v>
      </c>
      <c r="U995" t="inlineStr">
        <is>
          <t>2001-03-21</t>
        </is>
      </c>
      <c r="V995" t="inlineStr">
        <is>
          <t>2001-03-21</t>
        </is>
      </c>
      <c r="W995" t="inlineStr">
        <is>
          <t>1992-10-27</t>
        </is>
      </c>
      <c r="X995" t="inlineStr">
        <is>
          <t>1992-10-27</t>
        </is>
      </c>
      <c r="Y995" t="n">
        <v>421</v>
      </c>
      <c r="Z995" t="n">
        <v>357</v>
      </c>
      <c r="AA995" t="n">
        <v>366</v>
      </c>
      <c r="AB995" t="n">
        <v>3</v>
      </c>
      <c r="AC995" t="n">
        <v>3</v>
      </c>
      <c r="AD995" t="n">
        <v>24</v>
      </c>
      <c r="AE995" t="n">
        <v>24</v>
      </c>
      <c r="AF995" t="n">
        <v>8</v>
      </c>
      <c r="AG995" t="n">
        <v>8</v>
      </c>
      <c r="AH995" t="n">
        <v>7</v>
      </c>
      <c r="AI995" t="n">
        <v>7</v>
      </c>
      <c r="AJ995" t="n">
        <v>15</v>
      </c>
      <c r="AK995" t="n">
        <v>15</v>
      </c>
      <c r="AL995" t="n">
        <v>2</v>
      </c>
      <c r="AM995" t="n">
        <v>2</v>
      </c>
      <c r="AN995" t="n">
        <v>1</v>
      </c>
      <c r="AO995" t="n">
        <v>1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HYPERLINK("http://catalog.hathitrust.org/Record/002528428","HathiTrust Record")</f>
        <v/>
      </c>
      <c r="AS995">
        <f>HYPERLINK("https://creighton-primo.hosted.exlibrisgroup.com/primo-explore/search?tab=default_tab&amp;search_scope=EVERYTHING&amp;vid=01CRU&amp;lang=en_US&amp;offset=0&amp;query=any,contains,991001853319702656","Catalog Record")</f>
        <v/>
      </c>
      <c r="AT995">
        <f>HYPERLINK("http://www.worldcat.org/oclc/23254054","WorldCat Record")</f>
        <v/>
      </c>
      <c r="AU995" t="inlineStr">
        <is>
          <t>152322573:eng</t>
        </is>
      </c>
      <c r="AV995" t="inlineStr">
        <is>
          <t>23254054</t>
        </is>
      </c>
      <c r="AW995" t="inlineStr">
        <is>
          <t>991001853319702656</t>
        </is>
      </c>
      <c r="AX995" t="inlineStr">
        <is>
          <t>991001853319702656</t>
        </is>
      </c>
      <c r="AY995" t="inlineStr">
        <is>
          <t>2268354910002656</t>
        </is>
      </c>
      <c r="AZ995" t="inlineStr">
        <is>
          <t>BOOK</t>
        </is>
      </c>
      <c r="BB995" t="inlineStr">
        <is>
          <t>9780195066999</t>
        </is>
      </c>
      <c r="BC995" t="inlineStr">
        <is>
          <t>32285001319796</t>
        </is>
      </c>
      <c r="BD995" t="inlineStr">
        <is>
          <t>893226180</t>
        </is>
      </c>
    </row>
    <row r="996">
      <c r="A996" t="inlineStr">
        <is>
          <t>No</t>
        </is>
      </c>
      <c r="B996" t="inlineStr">
        <is>
          <t>HV741 .M34</t>
        </is>
      </c>
      <c r="C996" t="inlineStr">
        <is>
          <t>0                      HV 0741000M  34</t>
        </is>
      </c>
      <c r="D996" t="inlineStr">
        <is>
          <t>The Maltreatment of the school-aged child / edited by Richard Volpe, and Margot Breton, Judith Mitton.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Lexington, Mass. : Lexington Books, c1980.</t>
        </is>
      </c>
      <c r="M996" t="inlineStr">
        <is>
          <t>1980</t>
        </is>
      </c>
      <c r="O996" t="inlineStr">
        <is>
          <t>eng</t>
        </is>
      </c>
      <c r="P996" t="inlineStr">
        <is>
          <t>mau</t>
        </is>
      </c>
      <c r="R996" t="inlineStr">
        <is>
          <t xml:space="preserve">HV </t>
        </is>
      </c>
      <c r="S996" t="n">
        <v>2</v>
      </c>
      <c r="T996" t="n">
        <v>2</v>
      </c>
      <c r="U996" t="inlineStr">
        <is>
          <t>2006-11-07</t>
        </is>
      </c>
      <c r="V996" t="inlineStr">
        <is>
          <t>2006-11-07</t>
        </is>
      </c>
      <c r="W996" t="inlineStr">
        <is>
          <t>1992-03-31</t>
        </is>
      </c>
      <c r="X996" t="inlineStr">
        <is>
          <t>1992-03-31</t>
        </is>
      </c>
      <c r="Y996" t="n">
        <v>373</v>
      </c>
      <c r="Z996" t="n">
        <v>284</v>
      </c>
      <c r="AA996" t="n">
        <v>284</v>
      </c>
      <c r="AB996" t="n">
        <v>3</v>
      </c>
      <c r="AC996" t="n">
        <v>3</v>
      </c>
      <c r="AD996" t="n">
        <v>14</v>
      </c>
      <c r="AE996" t="n">
        <v>14</v>
      </c>
      <c r="AF996" t="n">
        <v>3</v>
      </c>
      <c r="AG996" t="n">
        <v>3</v>
      </c>
      <c r="AH996" t="n">
        <v>1</v>
      </c>
      <c r="AI996" t="n">
        <v>1</v>
      </c>
      <c r="AJ996" t="n">
        <v>5</v>
      </c>
      <c r="AK996" t="n">
        <v>5</v>
      </c>
      <c r="AL996" t="n">
        <v>2</v>
      </c>
      <c r="AM996" t="n">
        <v>2</v>
      </c>
      <c r="AN996" t="n">
        <v>5</v>
      </c>
      <c r="AO996" t="n">
        <v>5</v>
      </c>
      <c r="AP996" t="inlineStr">
        <is>
          <t>No</t>
        </is>
      </c>
      <c r="AQ996" t="inlineStr">
        <is>
          <t>No</t>
        </is>
      </c>
      <c r="AS996">
        <f>HYPERLINK("https://creighton-primo.hosted.exlibrisgroup.com/primo-explore/search?tab=default_tab&amp;search_scope=EVERYTHING&amp;vid=01CRU&amp;lang=en_US&amp;offset=0&amp;query=any,contains,991004982199702656","Catalog Record")</f>
        <v/>
      </c>
      <c r="AT996">
        <f>HYPERLINK("http://www.worldcat.org/oclc/6424274","WorldCat Record")</f>
        <v/>
      </c>
      <c r="AU996" t="inlineStr">
        <is>
          <t>364274632:eng</t>
        </is>
      </c>
      <c r="AV996" t="inlineStr">
        <is>
          <t>6424274</t>
        </is>
      </c>
      <c r="AW996" t="inlineStr">
        <is>
          <t>991004982199702656</t>
        </is>
      </c>
      <c r="AX996" t="inlineStr">
        <is>
          <t>991004982199702656</t>
        </is>
      </c>
      <c r="AY996" t="inlineStr">
        <is>
          <t>2271898550002656</t>
        </is>
      </c>
      <c r="AZ996" t="inlineStr">
        <is>
          <t>BOOK</t>
        </is>
      </c>
      <c r="BB996" t="inlineStr">
        <is>
          <t>9780669034639</t>
        </is>
      </c>
      <c r="BC996" t="inlineStr">
        <is>
          <t>32285001032159</t>
        </is>
      </c>
      <c r="BD996" t="inlineStr">
        <is>
          <t>893895706</t>
        </is>
      </c>
    </row>
    <row r="997">
      <c r="A997" t="inlineStr">
        <is>
          <t>No</t>
        </is>
      </c>
      <c r="B997" t="inlineStr">
        <is>
          <t>HV741 .M35 1983</t>
        </is>
      </c>
      <c r="C997" t="inlineStr">
        <is>
          <t>0                      HV 0741000M  35          1983</t>
        </is>
      </c>
      <c r="D997" t="inlineStr">
        <is>
          <t>Child abuse and neglect : sharing responsibility / Pamela D. Mayhall, Katherine Eastlack Norgard.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K997" t="inlineStr">
        <is>
          <t>Mayhall, Pamela D. (Pamela Douglass), 1939-</t>
        </is>
      </c>
      <c r="L997" t="inlineStr">
        <is>
          <t>New York : Wiley, c1983.</t>
        </is>
      </c>
      <c r="M997" t="inlineStr">
        <is>
          <t>1983</t>
        </is>
      </c>
      <c r="O997" t="inlineStr">
        <is>
          <t>eng</t>
        </is>
      </c>
      <c r="P997" t="inlineStr">
        <is>
          <t>nyu</t>
        </is>
      </c>
      <c r="R997" t="inlineStr">
        <is>
          <t xml:space="preserve">HV </t>
        </is>
      </c>
      <c r="S997" t="n">
        <v>32</v>
      </c>
      <c r="T997" t="n">
        <v>32</v>
      </c>
      <c r="U997" t="inlineStr">
        <is>
          <t>2006-11-07</t>
        </is>
      </c>
      <c r="V997" t="inlineStr">
        <is>
          <t>2006-11-07</t>
        </is>
      </c>
      <c r="W997" t="inlineStr">
        <is>
          <t>1990-04-26</t>
        </is>
      </c>
      <c r="X997" t="inlineStr">
        <is>
          <t>1990-04-26</t>
        </is>
      </c>
      <c r="Y997" t="n">
        <v>697</v>
      </c>
      <c r="Z997" t="n">
        <v>605</v>
      </c>
      <c r="AA997" t="n">
        <v>663</v>
      </c>
      <c r="AB997" t="n">
        <v>4</v>
      </c>
      <c r="AC997" t="n">
        <v>4</v>
      </c>
      <c r="AD997" t="n">
        <v>20</v>
      </c>
      <c r="AE997" t="n">
        <v>22</v>
      </c>
      <c r="AF997" t="n">
        <v>10</v>
      </c>
      <c r="AG997" t="n">
        <v>11</v>
      </c>
      <c r="AH997" t="n">
        <v>5</v>
      </c>
      <c r="AI997" t="n">
        <v>6</v>
      </c>
      <c r="AJ997" t="n">
        <v>6</v>
      </c>
      <c r="AK997" t="n">
        <v>7</v>
      </c>
      <c r="AL997" t="n">
        <v>3</v>
      </c>
      <c r="AM997" t="n">
        <v>3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HYPERLINK("http://catalog.hathitrust.org/Record/000235544","HathiTrust Record")</f>
        <v/>
      </c>
      <c r="AS997">
        <f>HYPERLINK("https://creighton-primo.hosted.exlibrisgroup.com/primo-explore/search?tab=default_tab&amp;search_scope=EVERYTHING&amp;vid=01CRU&amp;lang=en_US&amp;offset=0&amp;query=any,contains,991000139959702656","Catalog Record")</f>
        <v/>
      </c>
      <c r="AT997">
        <f>HYPERLINK("http://www.worldcat.org/oclc/9154327","WorldCat Record")</f>
        <v/>
      </c>
      <c r="AU997" t="inlineStr">
        <is>
          <t>11667839:eng</t>
        </is>
      </c>
      <c r="AV997" t="inlineStr">
        <is>
          <t>9154327</t>
        </is>
      </c>
      <c r="AW997" t="inlineStr">
        <is>
          <t>991000139959702656</t>
        </is>
      </c>
      <c r="AX997" t="inlineStr">
        <is>
          <t>991000139959702656</t>
        </is>
      </c>
      <c r="AY997" t="inlineStr">
        <is>
          <t>2264525480002656</t>
        </is>
      </c>
      <c r="AZ997" t="inlineStr">
        <is>
          <t>BOOK</t>
        </is>
      </c>
      <c r="BB997" t="inlineStr">
        <is>
          <t>9780471099291</t>
        </is>
      </c>
      <c r="BC997" t="inlineStr">
        <is>
          <t>32285000126481</t>
        </is>
      </c>
      <c r="BD997" t="inlineStr">
        <is>
          <t>893695628</t>
        </is>
      </c>
    </row>
    <row r="998">
      <c r="A998" t="inlineStr">
        <is>
          <t>No</t>
        </is>
      </c>
      <c r="B998" t="inlineStr">
        <is>
          <t>HV741 .M67 2004</t>
        </is>
      </c>
      <c r="C998" t="inlineStr">
        <is>
          <t>0                      HV 0741000M  67          2004</t>
        </is>
      </c>
      <c r="D998" t="inlineStr">
        <is>
          <t>Youth involvement in the child welfare and juvenile justice systems : a case of double jeopardy? / Leslee Morris and Madelyn Freundlich.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Morris, Leslee.</t>
        </is>
      </c>
      <c r="L998" t="inlineStr">
        <is>
          <t>Washington, DC : CWLA Press, c2004.</t>
        </is>
      </c>
      <c r="M998" t="inlineStr">
        <is>
          <t>2004</t>
        </is>
      </c>
      <c r="O998" t="inlineStr">
        <is>
          <t>eng</t>
        </is>
      </c>
      <c r="P998" t="inlineStr">
        <is>
          <t>dcu</t>
        </is>
      </c>
      <c r="R998" t="inlineStr">
        <is>
          <t xml:space="preserve">HV </t>
        </is>
      </c>
      <c r="S998" t="n">
        <v>1</v>
      </c>
      <c r="T998" t="n">
        <v>1</v>
      </c>
      <c r="U998" t="inlineStr">
        <is>
          <t>2005-01-08</t>
        </is>
      </c>
      <c r="V998" t="inlineStr">
        <is>
          <t>2005-01-08</t>
        </is>
      </c>
      <c r="W998" t="inlineStr">
        <is>
          <t>2005-01-08</t>
        </is>
      </c>
      <c r="X998" t="inlineStr">
        <is>
          <t>2005-01-08</t>
        </is>
      </c>
      <c r="Y998" t="n">
        <v>153</v>
      </c>
      <c r="Z998" t="n">
        <v>130</v>
      </c>
      <c r="AA998" t="n">
        <v>130</v>
      </c>
      <c r="AB998" t="n">
        <v>3</v>
      </c>
      <c r="AC998" t="n">
        <v>3</v>
      </c>
      <c r="AD998" t="n">
        <v>8</v>
      </c>
      <c r="AE998" t="n">
        <v>8</v>
      </c>
      <c r="AF998" t="n">
        <v>0</v>
      </c>
      <c r="AG998" t="n">
        <v>0</v>
      </c>
      <c r="AH998" t="n">
        <v>1</v>
      </c>
      <c r="AI998" t="n">
        <v>1</v>
      </c>
      <c r="AJ998" t="n">
        <v>3</v>
      </c>
      <c r="AK998" t="n">
        <v>3</v>
      </c>
      <c r="AL998" t="n">
        <v>2</v>
      </c>
      <c r="AM998" t="n">
        <v>2</v>
      </c>
      <c r="AN998" t="n">
        <v>2</v>
      </c>
      <c r="AO998" t="n">
        <v>2</v>
      </c>
      <c r="AP998" t="inlineStr">
        <is>
          <t>No</t>
        </is>
      </c>
      <c r="AQ998" t="inlineStr">
        <is>
          <t>No</t>
        </is>
      </c>
      <c r="AS998">
        <f>HYPERLINK("https://creighton-primo.hosted.exlibrisgroup.com/primo-explore/search?tab=default_tab&amp;search_scope=EVERYTHING&amp;vid=01CRU&amp;lang=en_US&amp;offset=0&amp;query=any,contains,991004403569702656","Catalog Record")</f>
        <v/>
      </c>
      <c r="AT998">
        <f>HYPERLINK("http://www.worldcat.org/oclc/56068734","WorldCat Record")</f>
        <v/>
      </c>
      <c r="AU998" t="inlineStr">
        <is>
          <t>15847024:eng</t>
        </is>
      </c>
      <c r="AV998" t="inlineStr">
        <is>
          <t>56068734</t>
        </is>
      </c>
      <c r="AW998" t="inlineStr">
        <is>
          <t>991004403569702656</t>
        </is>
      </c>
      <c r="AX998" t="inlineStr">
        <is>
          <t>991004403569702656</t>
        </is>
      </c>
      <c r="AY998" t="inlineStr">
        <is>
          <t>2272177000002656</t>
        </is>
      </c>
      <c r="AZ998" t="inlineStr">
        <is>
          <t>BOOK</t>
        </is>
      </c>
      <c r="BB998" t="inlineStr">
        <is>
          <t>9781587600258</t>
        </is>
      </c>
      <c r="BC998" t="inlineStr">
        <is>
          <t>32285005019632</t>
        </is>
      </c>
      <c r="BD998" t="inlineStr">
        <is>
          <t>893794814</t>
        </is>
      </c>
    </row>
    <row r="999">
      <c r="A999" t="inlineStr">
        <is>
          <t>No</t>
        </is>
      </c>
      <c r="B999" t="inlineStr">
        <is>
          <t>HV741 .M85 1997</t>
        </is>
      </c>
      <c r="C999" t="inlineStr">
        <is>
          <t>0                      HV 0741000M  85          1997</t>
        </is>
      </c>
      <c r="D999" t="inlineStr">
        <is>
          <t>Wasted : the plight of America's unwanted children / Patrick T. Murphy.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Murphy, Patrick T. (Patrick Thomas), 1939-</t>
        </is>
      </c>
      <c r="L999" t="inlineStr">
        <is>
          <t>Chicago, Ill. : Ivan R. Dee, 1997.</t>
        </is>
      </c>
      <c r="M999" t="inlineStr">
        <is>
          <t>1997</t>
        </is>
      </c>
      <c r="O999" t="inlineStr">
        <is>
          <t>eng</t>
        </is>
      </c>
      <c r="P999" t="inlineStr">
        <is>
          <t>ilu</t>
        </is>
      </c>
      <c r="R999" t="inlineStr">
        <is>
          <t xml:space="preserve">HV </t>
        </is>
      </c>
      <c r="S999" t="n">
        <v>3</v>
      </c>
      <c r="T999" t="n">
        <v>3</v>
      </c>
      <c r="U999" t="inlineStr">
        <is>
          <t>2008-11-19</t>
        </is>
      </c>
      <c r="V999" t="inlineStr">
        <is>
          <t>2008-11-19</t>
        </is>
      </c>
      <c r="W999" t="inlineStr">
        <is>
          <t>2000-07-19</t>
        </is>
      </c>
      <c r="X999" t="inlineStr">
        <is>
          <t>2000-07-19</t>
        </is>
      </c>
      <c r="Y999" t="n">
        <v>727</v>
      </c>
      <c r="Z999" t="n">
        <v>701</v>
      </c>
      <c r="AA999" t="n">
        <v>708</v>
      </c>
      <c r="AB999" t="n">
        <v>4</v>
      </c>
      <c r="AC999" t="n">
        <v>4</v>
      </c>
      <c r="AD999" t="n">
        <v>32</v>
      </c>
      <c r="AE999" t="n">
        <v>32</v>
      </c>
      <c r="AF999" t="n">
        <v>7</v>
      </c>
      <c r="AG999" t="n">
        <v>7</v>
      </c>
      <c r="AH999" t="n">
        <v>8</v>
      </c>
      <c r="AI999" t="n">
        <v>8</v>
      </c>
      <c r="AJ999" t="n">
        <v>14</v>
      </c>
      <c r="AK999" t="n">
        <v>14</v>
      </c>
      <c r="AL999" t="n">
        <v>2</v>
      </c>
      <c r="AM999" t="n">
        <v>2</v>
      </c>
      <c r="AN999" t="n">
        <v>7</v>
      </c>
      <c r="AO999" t="n">
        <v>7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HYPERLINK("http://catalog.hathitrust.org/Record/003946642","HathiTrust Record")</f>
        <v/>
      </c>
      <c r="AS999">
        <f>HYPERLINK("https://creighton-primo.hosted.exlibrisgroup.com/primo-explore/search?tab=default_tab&amp;search_scope=EVERYTHING&amp;vid=01CRU&amp;lang=en_US&amp;offset=0&amp;query=any,contains,991003207459702656","Catalog Record")</f>
        <v/>
      </c>
      <c r="AT999">
        <f>HYPERLINK("http://www.worldcat.org/oclc/36407875","WorldCat Record")</f>
        <v/>
      </c>
      <c r="AU999" t="inlineStr">
        <is>
          <t>346371467:eng</t>
        </is>
      </c>
      <c r="AV999" t="inlineStr">
        <is>
          <t>36407875</t>
        </is>
      </c>
      <c r="AW999" t="inlineStr">
        <is>
          <t>991003207459702656</t>
        </is>
      </c>
      <c r="AX999" t="inlineStr">
        <is>
          <t>991003207459702656</t>
        </is>
      </c>
      <c r="AY999" t="inlineStr">
        <is>
          <t>2257283350002656</t>
        </is>
      </c>
      <c r="AZ999" t="inlineStr">
        <is>
          <t>BOOK</t>
        </is>
      </c>
      <c r="BB999" t="inlineStr">
        <is>
          <t>9781566631631</t>
        </is>
      </c>
      <c r="BC999" t="inlineStr">
        <is>
          <t>32285003740908</t>
        </is>
      </c>
      <c r="BD999" t="inlineStr">
        <is>
          <t>893774504</t>
        </is>
      </c>
    </row>
    <row r="1000">
      <c r="A1000" t="inlineStr">
        <is>
          <t>No</t>
        </is>
      </c>
      <c r="B1000" t="inlineStr">
        <is>
          <t>HV741 .N383 1997</t>
        </is>
      </c>
      <c r="C1000" t="inlineStr">
        <is>
          <t>0                      HV 0741000N  383         1997</t>
        </is>
      </c>
      <c r="D1000" t="inlineStr">
        <is>
          <t>Neighborhood poverty / Jeanne Brooks-Gunn, Greg J. Duncan, J. Lawrence Aber, editors.</t>
        </is>
      </c>
      <c r="E1000" t="inlineStr">
        <is>
          <t>V. 1</t>
        </is>
      </c>
      <c r="F1000" t="inlineStr">
        <is>
          <t>Yes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New York : Russell Sage Foundation, c1997.</t>
        </is>
      </c>
      <c r="M1000" t="inlineStr">
        <is>
          <t>1997</t>
        </is>
      </c>
      <c r="O1000" t="inlineStr">
        <is>
          <t>eng</t>
        </is>
      </c>
      <c r="P1000" t="inlineStr">
        <is>
          <t>nyu</t>
        </is>
      </c>
      <c r="R1000" t="inlineStr">
        <is>
          <t xml:space="preserve">HV </t>
        </is>
      </c>
      <c r="S1000" t="n">
        <v>3</v>
      </c>
      <c r="T1000" t="n">
        <v>3</v>
      </c>
      <c r="U1000" t="inlineStr">
        <is>
          <t>2009-02-27</t>
        </is>
      </c>
      <c r="V1000" t="inlineStr">
        <is>
          <t>2009-02-27</t>
        </is>
      </c>
      <c r="W1000" t="inlineStr">
        <is>
          <t>2000-07-20</t>
        </is>
      </c>
      <c r="X1000" t="inlineStr">
        <is>
          <t>2000-07-20</t>
        </is>
      </c>
      <c r="Y1000" t="n">
        <v>589</v>
      </c>
      <c r="Z1000" t="n">
        <v>545</v>
      </c>
      <c r="AA1000" t="n">
        <v>601</v>
      </c>
      <c r="AB1000" t="n">
        <v>5</v>
      </c>
      <c r="AC1000" t="n">
        <v>5</v>
      </c>
      <c r="AD1000" t="n">
        <v>33</v>
      </c>
      <c r="AE1000" t="n">
        <v>37</v>
      </c>
      <c r="AF1000" t="n">
        <v>12</v>
      </c>
      <c r="AG1000" t="n">
        <v>15</v>
      </c>
      <c r="AH1000" t="n">
        <v>8</v>
      </c>
      <c r="AI1000" t="n">
        <v>10</v>
      </c>
      <c r="AJ1000" t="n">
        <v>20</v>
      </c>
      <c r="AK1000" t="n">
        <v>20</v>
      </c>
      <c r="AL1000" t="n">
        <v>4</v>
      </c>
      <c r="AM1000" t="n">
        <v>4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No</t>
        </is>
      </c>
      <c r="AS1000">
        <f>HYPERLINK("https://creighton-primo.hosted.exlibrisgroup.com/primo-explore/search?tab=default_tab&amp;search_scope=EVERYTHING&amp;vid=01CRU&amp;lang=en_US&amp;offset=0&amp;query=any,contains,991003209669702656","Catalog Record")</f>
        <v/>
      </c>
      <c r="AT1000">
        <f>HYPERLINK("http://www.worldcat.org/oclc/36458217","WorldCat Record")</f>
        <v/>
      </c>
      <c r="AU1000" t="inlineStr">
        <is>
          <t>356267173:eng</t>
        </is>
      </c>
      <c r="AV1000" t="inlineStr">
        <is>
          <t>36458217</t>
        </is>
      </c>
      <c r="AW1000" t="inlineStr">
        <is>
          <t>991003209669702656</t>
        </is>
      </c>
      <c r="AX1000" t="inlineStr">
        <is>
          <t>991003209669702656</t>
        </is>
      </c>
      <c r="AY1000" t="inlineStr">
        <is>
          <t>2267006530002656</t>
        </is>
      </c>
      <c r="AZ1000" t="inlineStr">
        <is>
          <t>BOOK</t>
        </is>
      </c>
      <c r="BB1000" t="inlineStr">
        <is>
          <t>9780871541451</t>
        </is>
      </c>
      <c r="BC1000" t="inlineStr">
        <is>
          <t>32285003741468</t>
        </is>
      </c>
      <c r="BD1000" t="inlineStr">
        <is>
          <t>893899727</t>
        </is>
      </c>
    </row>
    <row r="1001">
      <c r="A1001" t="inlineStr">
        <is>
          <t>No</t>
        </is>
      </c>
      <c r="B1001" t="inlineStr">
        <is>
          <t>HV741 .N39 1984</t>
        </is>
      </c>
      <c r="C1001" t="inlineStr">
        <is>
          <t>0                      HV 0741000N  39          1984</t>
        </is>
      </c>
      <c r="D1001" t="inlineStr">
        <is>
          <t>Making an issue of child abuse : political agenda setting for social problems / Barbara J. Nelson.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Nelson, Barbara J., 1949-</t>
        </is>
      </c>
      <c r="L1001" t="inlineStr">
        <is>
          <t>Chicago : University of Chicago Press, 1984.</t>
        </is>
      </c>
      <c r="M1001" t="inlineStr">
        <is>
          <t>1984</t>
        </is>
      </c>
      <c r="O1001" t="inlineStr">
        <is>
          <t>eng</t>
        </is>
      </c>
      <c r="P1001" t="inlineStr">
        <is>
          <t>ilu</t>
        </is>
      </c>
      <c r="R1001" t="inlineStr">
        <is>
          <t xml:space="preserve">HV </t>
        </is>
      </c>
      <c r="S1001" t="n">
        <v>12</v>
      </c>
      <c r="T1001" t="n">
        <v>12</v>
      </c>
      <c r="U1001" t="inlineStr">
        <is>
          <t>1997-03-27</t>
        </is>
      </c>
      <c r="V1001" t="inlineStr">
        <is>
          <t>1997-03-27</t>
        </is>
      </c>
      <c r="W1001" t="inlineStr">
        <is>
          <t>1990-04-10</t>
        </is>
      </c>
      <c r="X1001" t="inlineStr">
        <is>
          <t>1990-04-10</t>
        </is>
      </c>
      <c r="Y1001" t="n">
        <v>1035</v>
      </c>
      <c r="Z1001" t="n">
        <v>924</v>
      </c>
      <c r="AA1001" t="n">
        <v>946</v>
      </c>
      <c r="AB1001" t="n">
        <v>7</v>
      </c>
      <c r="AC1001" t="n">
        <v>7</v>
      </c>
      <c r="AD1001" t="n">
        <v>40</v>
      </c>
      <c r="AE1001" t="n">
        <v>40</v>
      </c>
      <c r="AF1001" t="n">
        <v>14</v>
      </c>
      <c r="AG1001" t="n">
        <v>14</v>
      </c>
      <c r="AH1001" t="n">
        <v>9</v>
      </c>
      <c r="AI1001" t="n">
        <v>9</v>
      </c>
      <c r="AJ1001" t="n">
        <v>10</v>
      </c>
      <c r="AK1001" t="n">
        <v>10</v>
      </c>
      <c r="AL1001" t="n">
        <v>5</v>
      </c>
      <c r="AM1001" t="n">
        <v>5</v>
      </c>
      <c r="AN1001" t="n">
        <v>8</v>
      </c>
      <c r="AO1001" t="n">
        <v>8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HYPERLINK("https://creighton-primo.hosted.exlibrisgroup.com/primo-explore/search?tab=default_tab&amp;search_scope=EVERYTHING&amp;vid=01CRU&amp;lang=en_US&amp;offset=0&amp;query=any,contains,991000312399702656","Catalog Record")</f>
        <v/>
      </c>
      <c r="AT1001">
        <f>HYPERLINK("http://www.worldcat.org/oclc/10100651","WorldCat Record")</f>
        <v/>
      </c>
      <c r="AU1001" t="inlineStr">
        <is>
          <t>865037218:eng</t>
        </is>
      </c>
      <c r="AV1001" t="inlineStr">
        <is>
          <t>10100651</t>
        </is>
      </c>
      <c r="AW1001" t="inlineStr">
        <is>
          <t>991000312399702656</t>
        </is>
      </c>
      <c r="AX1001" t="inlineStr">
        <is>
          <t>991000312399702656</t>
        </is>
      </c>
      <c r="AY1001" t="inlineStr">
        <is>
          <t>2256218450002656</t>
        </is>
      </c>
      <c r="AZ1001" t="inlineStr">
        <is>
          <t>BOOK</t>
        </is>
      </c>
      <c r="BB1001" t="inlineStr">
        <is>
          <t>9780226572000</t>
        </is>
      </c>
      <c r="BC1001" t="inlineStr">
        <is>
          <t>32285000113331</t>
        </is>
      </c>
      <c r="BD1001" t="inlineStr">
        <is>
          <t>893614085</t>
        </is>
      </c>
    </row>
    <row r="1002">
      <c r="A1002" t="inlineStr">
        <is>
          <t>No</t>
        </is>
      </c>
      <c r="B1002" t="inlineStr">
        <is>
          <t>HV741 .N397 1988</t>
        </is>
      </c>
      <c r="C1002" t="inlineStr">
        <is>
          <t>0                      HV 0741000N  397         1988</t>
        </is>
      </c>
      <c r="D1002" t="inlineStr">
        <is>
          <t>The New child protection team handbook / editors, Donald C. Bross ... [et al.].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L1002" t="inlineStr">
        <is>
          <t>New York : Garland, 1988.</t>
        </is>
      </c>
      <c r="M1002" t="inlineStr">
        <is>
          <t>1988</t>
        </is>
      </c>
      <c r="O1002" t="inlineStr">
        <is>
          <t>eng</t>
        </is>
      </c>
      <c r="P1002" t="inlineStr">
        <is>
          <t>nyu</t>
        </is>
      </c>
      <c r="Q1002" t="inlineStr">
        <is>
          <t>Garland reference library of social science ; vol. 380</t>
        </is>
      </c>
      <c r="R1002" t="inlineStr">
        <is>
          <t xml:space="preserve">HV </t>
        </is>
      </c>
      <c r="S1002" t="n">
        <v>5</v>
      </c>
      <c r="T1002" t="n">
        <v>5</v>
      </c>
      <c r="U1002" t="inlineStr">
        <is>
          <t>2006-10-12</t>
        </is>
      </c>
      <c r="V1002" t="inlineStr">
        <is>
          <t>2006-10-12</t>
        </is>
      </c>
      <c r="W1002" t="inlineStr">
        <is>
          <t>1991-01-28</t>
        </is>
      </c>
      <c r="X1002" t="inlineStr">
        <is>
          <t>1991-01-28</t>
        </is>
      </c>
      <c r="Y1002" t="n">
        <v>540</v>
      </c>
      <c r="Z1002" t="n">
        <v>453</v>
      </c>
      <c r="AA1002" t="n">
        <v>457</v>
      </c>
      <c r="AB1002" t="n">
        <v>6</v>
      </c>
      <c r="AC1002" t="n">
        <v>6</v>
      </c>
      <c r="AD1002" t="n">
        <v>27</v>
      </c>
      <c r="AE1002" t="n">
        <v>27</v>
      </c>
      <c r="AF1002" t="n">
        <v>10</v>
      </c>
      <c r="AG1002" t="n">
        <v>10</v>
      </c>
      <c r="AH1002" t="n">
        <v>5</v>
      </c>
      <c r="AI1002" t="n">
        <v>5</v>
      </c>
      <c r="AJ1002" t="n">
        <v>11</v>
      </c>
      <c r="AK1002" t="n">
        <v>11</v>
      </c>
      <c r="AL1002" t="n">
        <v>5</v>
      </c>
      <c r="AM1002" t="n">
        <v>5</v>
      </c>
      <c r="AN1002" t="n">
        <v>1</v>
      </c>
      <c r="AO1002" t="n">
        <v>1</v>
      </c>
      <c r="AP1002" t="inlineStr">
        <is>
          <t>No</t>
        </is>
      </c>
      <c r="AQ1002" t="inlineStr">
        <is>
          <t>No</t>
        </is>
      </c>
      <c r="AS1002">
        <f>HYPERLINK("https://creighton-primo.hosted.exlibrisgroup.com/primo-explore/search?tab=default_tab&amp;search_scope=EVERYTHING&amp;vid=01CRU&amp;lang=en_US&amp;offset=0&amp;query=any,contains,991001227769702656","Catalog Record")</f>
        <v/>
      </c>
      <c r="AT1002">
        <f>HYPERLINK("http://www.worldcat.org/oclc/17510085","WorldCat Record")</f>
        <v/>
      </c>
      <c r="AU1002" t="inlineStr">
        <is>
          <t>2812722:eng</t>
        </is>
      </c>
      <c r="AV1002" t="inlineStr">
        <is>
          <t>17510085</t>
        </is>
      </c>
      <c r="AW1002" t="inlineStr">
        <is>
          <t>991001227769702656</t>
        </is>
      </c>
      <c r="AX1002" t="inlineStr">
        <is>
          <t>991001227769702656</t>
        </is>
      </c>
      <c r="AY1002" t="inlineStr">
        <is>
          <t>2257296680002656</t>
        </is>
      </c>
      <c r="AZ1002" t="inlineStr">
        <is>
          <t>BOOK</t>
        </is>
      </c>
      <c r="BB1002" t="inlineStr">
        <is>
          <t>9780824085193</t>
        </is>
      </c>
      <c r="BC1002" t="inlineStr">
        <is>
          <t>32285000461243</t>
        </is>
      </c>
      <c r="BD1002" t="inlineStr">
        <is>
          <t>893340259</t>
        </is>
      </c>
    </row>
    <row r="1003">
      <c r="A1003" t="inlineStr">
        <is>
          <t>No</t>
        </is>
      </c>
      <c r="B1003" t="inlineStr">
        <is>
          <t>HV741 .O27</t>
        </is>
      </c>
      <c r="C1003" t="inlineStr">
        <is>
          <t>0                      HV 0741000O  27</t>
        </is>
      </c>
      <c r="D1003" t="inlineStr">
        <is>
          <t>Child abuse, a crying shame / Shirley O'Brien.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O'Brien, Shirley, 1938-</t>
        </is>
      </c>
      <c r="L1003" t="inlineStr">
        <is>
          <t>Provo, Utah : Brigham Young University Press, c1980.</t>
        </is>
      </c>
      <c r="M1003" t="inlineStr">
        <is>
          <t>1980</t>
        </is>
      </c>
      <c r="O1003" t="inlineStr">
        <is>
          <t>eng</t>
        </is>
      </c>
      <c r="P1003" t="inlineStr">
        <is>
          <t>utu</t>
        </is>
      </c>
      <c r="R1003" t="inlineStr">
        <is>
          <t xml:space="preserve">HV </t>
        </is>
      </c>
      <c r="S1003" t="n">
        <v>28</v>
      </c>
      <c r="T1003" t="n">
        <v>28</v>
      </c>
      <c r="U1003" t="inlineStr">
        <is>
          <t>1998-09-24</t>
        </is>
      </c>
      <c r="V1003" t="inlineStr">
        <is>
          <t>1998-09-24</t>
        </is>
      </c>
      <c r="W1003" t="inlineStr">
        <is>
          <t>1991-12-06</t>
        </is>
      </c>
      <c r="X1003" t="inlineStr">
        <is>
          <t>1991-12-06</t>
        </is>
      </c>
      <c r="Y1003" t="n">
        <v>536</v>
      </c>
      <c r="Z1003" t="n">
        <v>487</v>
      </c>
      <c r="AA1003" t="n">
        <v>495</v>
      </c>
      <c r="AB1003" t="n">
        <v>4</v>
      </c>
      <c r="AC1003" t="n">
        <v>4</v>
      </c>
      <c r="AD1003" t="n">
        <v>15</v>
      </c>
      <c r="AE1003" t="n">
        <v>15</v>
      </c>
      <c r="AF1003" t="n">
        <v>6</v>
      </c>
      <c r="AG1003" t="n">
        <v>6</v>
      </c>
      <c r="AH1003" t="n">
        <v>1</v>
      </c>
      <c r="AI1003" t="n">
        <v>1</v>
      </c>
      <c r="AJ1003" t="n">
        <v>3</v>
      </c>
      <c r="AK1003" t="n">
        <v>3</v>
      </c>
      <c r="AL1003" t="n">
        <v>1</v>
      </c>
      <c r="AM1003" t="n">
        <v>1</v>
      </c>
      <c r="AN1003" t="n">
        <v>6</v>
      </c>
      <c r="AO1003" t="n">
        <v>6</v>
      </c>
      <c r="AP1003" t="inlineStr">
        <is>
          <t>No</t>
        </is>
      </c>
      <c r="AQ1003" t="inlineStr">
        <is>
          <t>Yes</t>
        </is>
      </c>
      <c r="AR1003">
        <f>HYPERLINK("http://catalog.hathitrust.org/Record/000086078","HathiTrust Record")</f>
        <v/>
      </c>
      <c r="AS1003">
        <f>HYPERLINK("https://creighton-primo.hosted.exlibrisgroup.com/primo-explore/search?tab=default_tab&amp;search_scope=EVERYTHING&amp;vid=01CRU&amp;lang=en_US&amp;offset=0&amp;query=any,contains,991004992029702656","Catalog Record")</f>
        <v/>
      </c>
      <c r="AT1003">
        <f>HYPERLINK("http://www.worldcat.org/oclc/6487603","WorldCat Record")</f>
        <v/>
      </c>
      <c r="AU1003" t="inlineStr">
        <is>
          <t>506334:eng</t>
        </is>
      </c>
      <c r="AV1003" t="inlineStr">
        <is>
          <t>6487603</t>
        </is>
      </c>
      <c r="AW1003" t="inlineStr">
        <is>
          <t>991004992029702656</t>
        </is>
      </c>
      <c r="AX1003" t="inlineStr">
        <is>
          <t>991004992029702656</t>
        </is>
      </c>
      <c r="AY1003" t="inlineStr">
        <is>
          <t>2256328720002656</t>
        </is>
      </c>
      <c r="AZ1003" t="inlineStr">
        <is>
          <t>BOOK</t>
        </is>
      </c>
      <c r="BB1003" t="inlineStr">
        <is>
          <t>9780842518291</t>
        </is>
      </c>
      <c r="BC1003" t="inlineStr">
        <is>
          <t>32285000828789</t>
        </is>
      </c>
      <c r="BD1003" t="inlineStr">
        <is>
          <t>893501174</t>
        </is>
      </c>
    </row>
    <row r="1004">
      <c r="A1004" t="inlineStr">
        <is>
          <t>No</t>
        </is>
      </c>
      <c r="B1004" t="inlineStr">
        <is>
          <t>HV741 .O29 2004</t>
        </is>
      </c>
      <c r="C1004" t="inlineStr">
        <is>
          <t>0                      HV 0741000O  29          2004</t>
        </is>
      </c>
      <c r="D1004" t="inlineStr">
        <is>
          <t>Trends in the well-being of America's children / by William P. O'Hare.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O'Hare, William P.</t>
        </is>
      </c>
      <c r="L1004" t="inlineStr">
        <is>
          <t>New York, NY : Russell Sage Foundation ; Washington, DC : Population Reference Bureau, c2004.</t>
        </is>
      </c>
      <c r="M1004" t="inlineStr">
        <is>
          <t>2004</t>
        </is>
      </c>
      <c r="O1004" t="inlineStr">
        <is>
          <t>eng</t>
        </is>
      </c>
      <c r="P1004" t="inlineStr">
        <is>
          <t>nyu</t>
        </is>
      </c>
      <c r="Q1004" t="inlineStr">
        <is>
          <t>The American people. Census 2000</t>
        </is>
      </c>
      <c r="R1004" t="inlineStr">
        <is>
          <t xml:space="preserve">HV </t>
        </is>
      </c>
      <c r="S1004" t="n">
        <v>1</v>
      </c>
      <c r="T1004" t="n">
        <v>1</v>
      </c>
      <c r="U1004" t="inlineStr">
        <is>
          <t>2005-01-26</t>
        </is>
      </c>
      <c r="V1004" t="inlineStr">
        <is>
          <t>2005-01-26</t>
        </is>
      </c>
      <c r="W1004" t="inlineStr">
        <is>
          <t>2005-01-26</t>
        </is>
      </c>
      <c r="X1004" t="inlineStr">
        <is>
          <t>2005-01-26</t>
        </is>
      </c>
      <c r="Y1004" t="n">
        <v>44</v>
      </c>
      <c r="Z1004" t="n">
        <v>43</v>
      </c>
      <c r="AA1004" t="n">
        <v>43</v>
      </c>
      <c r="AB1004" t="n">
        <v>1</v>
      </c>
      <c r="AC1004" t="n">
        <v>1</v>
      </c>
      <c r="AD1004" t="n">
        <v>3</v>
      </c>
      <c r="AE1004" t="n">
        <v>3</v>
      </c>
      <c r="AF1004" t="n">
        <v>2</v>
      </c>
      <c r="AG1004" t="n">
        <v>2</v>
      </c>
      <c r="AH1004" t="n">
        <v>0</v>
      </c>
      <c r="AI1004" t="n">
        <v>0</v>
      </c>
      <c r="AJ1004" t="n">
        <v>2</v>
      </c>
      <c r="AK1004" t="n">
        <v>2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No</t>
        </is>
      </c>
      <c r="AS1004">
        <f>HYPERLINK("https://creighton-primo.hosted.exlibrisgroup.com/primo-explore/search?tab=default_tab&amp;search_scope=EVERYTHING&amp;vid=01CRU&amp;lang=en_US&amp;offset=0&amp;query=any,contains,991004440919702656","Catalog Record")</f>
        <v/>
      </c>
      <c r="AT1004">
        <f>HYPERLINK("http://www.worldcat.org/oclc/57442579","WorldCat Record")</f>
        <v/>
      </c>
      <c r="AU1004" t="inlineStr">
        <is>
          <t>19533174:eng</t>
        </is>
      </c>
      <c r="AV1004" t="inlineStr">
        <is>
          <t>57442579</t>
        </is>
      </c>
      <c r="AW1004" t="inlineStr">
        <is>
          <t>991004440919702656</t>
        </is>
      </c>
      <c r="AX1004" t="inlineStr">
        <is>
          <t>991004440919702656</t>
        </is>
      </c>
      <c r="AY1004" t="inlineStr">
        <is>
          <t>2263261650002656</t>
        </is>
      </c>
      <c r="AZ1004" t="inlineStr">
        <is>
          <t>BOOK</t>
        </is>
      </c>
      <c r="BC1004" t="inlineStr">
        <is>
          <t>32285005023063</t>
        </is>
      </c>
      <c r="BD1004" t="inlineStr">
        <is>
          <t>893624738</t>
        </is>
      </c>
    </row>
    <row r="1005">
      <c r="A1005" t="inlineStr">
        <is>
          <t>No</t>
        </is>
      </c>
      <c r="B1005" t="inlineStr">
        <is>
          <t>HV741 .P37 1985</t>
        </is>
      </c>
      <c r="C1005" t="inlineStr">
        <is>
          <t>0                      HV 0741000P  37          1985</t>
        </is>
      </c>
      <c r="D1005" t="inlineStr">
        <is>
          <t>The politics of child abuse / Nigel Parton.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Parton, Nigel.</t>
        </is>
      </c>
      <c r="L1005" t="inlineStr">
        <is>
          <t>New York : St. Martin's Press, 1985.</t>
        </is>
      </c>
      <c r="M1005" t="inlineStr">
        <is>
          <t>1985</t>
        </is>
      </c>
      <c r="O1005" t="inlineStr">
        <is>
          <t>eng</t>
        </is>
      </c>
      <c r="P1005" t="inlineStr">
        <is>
          <t>nyu</t>
        </is>
      </c>
      <c r="R1005" t="inlineStr">
        <is>
          <t xml:space="preserve">HV </t>
        </is>
      </c>
      <c r="S1005" t="n">
        <v>5</v>
      </c>
      <c r="T1005" t="n">
        <v>5</v>
      </c>
      <c r="U1005" t="inlineStr">
        <is>
          <t>2002-10-21</t>
        </is>
      </c>
      <c r="V1005" t="inlineStr">
        <is>
          <t>2002-10-21</t>
        </is>
      </c>
      <c r="W1005" t="inlineStr">
        <is>
          <t>1992-05-06</t>
        </is>
      </c>
      <c r="X1005" t="inlineStr">
        <is>
          <t>1992-05-06</t>
        </is>
      </c>
      <c r="Y1005" t="n">
        <v>321</v>
      </c>
      <c r="Z1005" t="n">
        <v>295</v>
      </c>
      <c r="AA1005" t="n">
        <v>368</v>
      </c>
      <c r="AB1005" t="n">
        <v>2</v>
      </c>
      <c r="AC1005" t="n">
        <v>3</v>
      </c>
      <c r="AD1005" t="n">
        <v>14</v>
      </c>
      <c r="AE1005" t="n">
        <v>18</v>
      </c>
      <c r="AF1005" t="n">
        <v>5</v>
      </c>
      <c r="AG1005" t="n">
        <v>6</v>
      </c>
      <c r="AH1005" t="n">
        <v>5</v>
      </c>
      <c r="AI1005" t="n">
        <v>5</v>
      </c>
      <c r="AJ1005" t="n">
        <v>3</v>
      </c>
      <c r="AK1005" t="n">
        <v>6</v>
      </c>
      <c r="AL1005" t="n">
        <v>1</v>
      </c>
      <c r="AM1005" t="n">
        <v>2</v>
      </c>
      <c r="AN1005" t="n">
        <v>3</v>
      </c>
      <c r="AO1005" t="n">
        <v>3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HYPERLINK("https://creighton-primo.hosted.exlibrisgroup.com/primo-explore/search?tab=default_tab&amp;search_scope=EVERYTHING&amp;vid=01CRU&amp;lang=en_US&amp;offset=0&amp;query=any,contains,991000537009702656","Catalog Record")</f>
        <v/>
      </c>
      <c r="AT1005">
        <f>HYPERLINK("http://www.worldcat.org/oclc/11467824","WorldCat Record")</f>
        <v/>
      </c>
      <c r="AU1005" t="inlineStr">
        <is>
          <t>3906479:eng</t>
        </is>
      </c>
      <c r="AV1005" t="inlineStr">
        <is>
          <t>11467824</t>
        </is>
      </c>
      <c r="AW1005" t="inlineStr">
        <is>
          <t>991000537009702656</t>
        </is>
      </c>
      <c r="AX1005" t="inlineStr">
        <is>
          <t>991000537009702656</t>
        </is>
      </c>
      <c r="AY1005" t="inlineStr">
        <is>
          <t>2265228760002656</t>
        </is>
      </c>
      <c r="AZ1005" t="inlineStr">
        <is>
          <t>BOOK</t>
        </is>
      </c>
      <c r="BB1005" t="inlineStr">
        <is>
          <t>9780312626754</t>
        </is>
      </c>
      <c r="BC1005" t="inlineStr">
        <is>
          <t>32285001120558</t>
        </is>
      </c>
      <c r="BD1005" t="inlineStr">
        <is>
          <t>893515364</t>
        </is>
      </c>
    </row>
    <row r="1006">
      <c r="A1006" t="inlineStr">
        <is>
          <t>No</t>
        </is>
      </c>
      <c r="B1006" t="inlineStr">
        <is>
          <t>HV741 .P42 2000</t>
        </is>
      </c>
      <c r="C1006" t="inlineStr">
        <is>
          <t>0                      HV 0741000P  42          2000</t>
        </is>
      </c>
      <c r="D1006" t="inlineStr">
        <is>
          <t>The child welfare challenge : policy, practice, and research / Peter J. Pecora ... [et al.].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New York : Aldine de Gruyter, c2000.</t>
        </is>
      </c>
      <c r="M1006" t="inlineStr">
        <is>
          <t>2000</t>
        </is>
      </c>
      <c r="N1006" t="inlineStr">
        <is>
          <t>2nd ed.</t>
        </is>
      </c>
      <c r="O1006" t="inlineStr">
        <is>
          <t>eng</t>
        </is>
      </c>
      <c r="P1006" t="inlineStr">
        <is>
          <t>nyu</t>
        </is>
      </c>
      <c r="Q1006" t="inlineStr">
        <is>
          <t>Modern applications of social work</t>
        </is>
      </c>
      <c r="R1006" t="inlineStr">
        <is>
          <t xml:space="preserve">HV </t>
        </is>
      </c>
      <c r="S1006" t="n">
        <v>5</v>
      </c>
      <c r="T1006" t="n">
        <v>5</v>
      </c>
      <c r="U1006" t="inlineStr">
        <is>
          <t>2008-09-23</t>
        </is>
      </c>
      <c r="V1006" t="inlineStr">
        <is>
          <t>2008-09-23</t>
        </is>
      </c>
      <c r="W1006" t="inlineStr">
        <is>
          <t>2000-12-04</t>
        </is>
      </c>
      <c r="X1006" t="inlineStr">
        <is>
          <t>2000-12-04</t>
        </is>
      </c>
      <c r="Y1006" t="n">
        <v>298</v>
      </c>
      <c r="Z1006" t="n">
        <v>254</v>
      </c>
      <c r="AA1006" t="n">
        <v>592</v>
      </c>
      <c r="AB1006" t="n">
        <v>2</v>
      </c>
      <c r="AC1006" t="n">
        <v>5</v>
      </c>
      <c r="AD1006" t="n">
        <v>10</v>
      </c>
      <c r="AE1006" t="n">
        <v>25</v>
      </c>
      <c r="AF1006" t="n">
        <v>1</v>
      </c>
      <c r="AG1006" t="n">
        <v>7</v>
      </c>
      <c r="AH1006" t="n">
        <v>3</v>
      </c>
      <c r="AI1006" t="n">
        <v>8</v>
      </c>
      <c r="AJ1006" t="n">
        <v>6</v>
      </c>
      <c r="AK1006" t="n">
        <v>11</v>
      </c>
      <c r="AL1006" t="n">
        <v>1</v>
      </c>
      <c r="AM1006" t="n">
        <v>4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HYPERLINK("https://creighton-primo.hosted.exlibrisgroup.com/primo-explore/search?tab=default_tab&amp;search_scope=EVERYTHING&amp;vid=01CRU&amp;lang=en_US&amp;offset=0&amp;query=any,contains,991003330219702656","Catalog Record")</f>
        <v/>
      </c>
      <c r="AT1006">
        <f>HYPERLINK("http://www.worldcat.org/oclc/43757522","WorldCat Record")</f>
        <v/>
      </c>
      <c r="AU1006" t="inlineStr">
        <is>
          <t>897687367:eng</t>
        </is>
      </c>
      <c r="AV1006" t="inlineStr">
        <is>
          <t>43757522</t>
        </is>
      </c>
      <c r="AW1006" t="inlineStr">
        <is>
          <t>991003330219702656</t>
        </is>
      </c>
      <c r="AX1006" t="inlineStr">
        <is>
          <t>991003330219702656</t>
        </is>
      </c>
      <c r="AY1006" t="inlineStr">
        <is>
          <t>2270334560002656</t>
        </is>
      </c>
      <c r="AZ1006" t="inlineStr">
        <is>
          <t>BOOK</t>
        </is>
      </c>
      <c r="BB1006" t="inlineStr">
        <is>
          <t>9780202361253</t>
        </is>
      </c>
      <c r="BC1006" t="inlineStr">
        <is>
          <t>32285004269295</t>
        </is>
      </c>
      <c r="BD1006" t="inlineStr">
        <is>
          <t>893780868</t>
        </is>
      </c>
    </row>
    <row r="1007">
      <c r="A1007" t="inlineStr">
        <is>
          <t>No</t>
        </is>
      </c>
      <c r="B1007" t="inlineStr">
        <is>
          <t>HV741 .P445 1989</t>
        </is>
      </c>
      <c r="C1007" t="inlineStr">
        <is>
          <t>0                      HV 0741000P  445         1989</t>
        </is>
      </c>
      <c r="D1007" t="inlineStr">
        <is>
          <t>For reasons of poverty : a critical analysis of the public child welfare system in the United States / Leroy H. Pelton.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Pelton, Leroy H.</t>
        </is>
      </c>
      <c r="L1007" t="inlineStr">
        <is>
          <t>New York : Praeger, 1989.</t>
        </is>
      </c>
      <c r="M1007" t="inlineStr">
        <is>
          <t>1989</t>
        </is>
      </c>
      <c r="O1007" t="inlineStr">
        <is>
          <t>eng</t>
        </is>
      </c>
      <c r="P1007" t="inlineStr">
        <is>
          <t>nyu</t>
        </is>
      </c>
      <c r="R1007" t="inlineStr">
        <is>
          <t xml:space="preserve">HV </t>
        </is>
      </c>
      <c r="S1007" t="n">
        <v>15</v>
      </c>
      <c r="T1007" t="n">
        <v>15</v>
      </c>
      <c r="U1007" t="inlineStr">
        <is>
          <t>1998-09-24</t>
        </is>
      </c>
      <c r="V1007" t="inlineStr">
        <is>
          <t>1998-09-24</t>
        </is>
      </c>
      <c r="W1007" t="inlineStr">
        <is>
          <t>1990-05-24</t>
        </is>
      </c>
      <c r="X1007" t="inlineStr">
        <is>
          <t>1990-05-24</t>
        </is>
      </c>
      <c r="Y1007" t="n">
        <v>555</v>
      </c>
      <c r="Z1007" t="n">
        <v>509</v>
      </c>
      <c r="AA1007" t="n">
        <v>511</v>
      </c>
      <c r="AB1007" t="n">
        <v>4</v>
      </c>
      <c r="AC1007" t="n">
        <v>4</v>
      </c>
      <c r="AD1007" t="n">
        <v>25</v>
      </c>
      <c r="AE1007" t="n">
        <v>25</v>
      </c>
      <c r="AF1007" t="n">
        <v>6</v>
      </c>
      <c r="AG1007" t="n">
        <v>6</v>
      </c>
      <c r="AH1007" t="n">
        <v>7</v>
      </c>
      <c r="AI1007" t="n">
        <v>7</v>
      </c>
      <c r="AJ1007" t="n">
        <v>14</v>
      </c>
      <c r="AK1007" t="n">
        <v>14</v>
      </c>
      <c r="AL1007" t="n">
        <v>3</v>
      </c>
      <c r="AM1007" t="n">
        <v>3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HYPERLINK("http://catalog.hathitrust.org/Record/004454049","HathiTrust Record")</f>
        <v/>
      </c>
      <c r="AS1007">
        <f>HYPERLINK("https://creighton-primo.hosted.exlibrisgroup.com/primo-explore/search?tab=default_tab&amp;search_scope=EVERYTHING&amp;vid=01CRU&amp;lang=en_US&amp;offset=0&amp;query=any,contains,991001494829702656","Catalog Record")</f>
        <v/>
      </c>
      <c r="AT1007">
        <f>HYPERLINK("http://www.worldcat.org/oclc/19742172","WorldCat Record")</f>
        <v/>
      </c>
      <c r="AU1007" t="inlineStr">
        <is>
          <t>836701349:eng</t>
        </is>
      </c>
      <c r="AV1007" t="inlineStr">
        <is>
          <t>19742172</t>
        </is>
      </c>
      <c r="AW1007" t="inlineStr">
        <is>
          <t>991001494829702656</t>
        </is>
      </c>
      <c r="AX1007" t="inlineStr">
        <is>
          <t>991001494829702656</t>
        </is>
      </c>
      <c r="AY1007" t="inlineStr">
        <is>
          <t>2262534530002656</t>
        </is>
      </c>
      <c r="AZ1007" t="inlineStr">
        <is>
          <t>BOOK</t>
        </is>
      </c>
      <c r="BB1007" t="inlineStr">
        <is>
          <t>9780275930738</t>
        </is>
      </c>
      <c r="BC1007" t="inlineStr">
        <is>
          <t>32285000138437</t>
        </is>
      </c>
      <c r="BD1007" t="inlineStr">
        <is>
          <t>893414271</t>
        </is>
      </c>
    </row>
    <row r="1008">
      <c r="A1008" t="inlineStr">
        <is>
          <t>No</t>
        </is>
      </c>
      <c r="B1008" t="inlineStr">
        <is>
          <t>HV741 .P6 1974</t>
        </is>
      </c>
      <c r="C1008" t="inlineStr">
        <is>
          <t>0                      HV 0741000P  6           1974</t>
        </is>
      </c>
      <c r="D1008" t="inlineStr">
        <is>
          <t>Everyone's children, nobody's child.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Polier, Justine Wise, 1903-1987.</t>
        </is>
      </c>
      <c r="L1008" t="inlineStr">
        <is>
          <t>New York, Arno Press, 1974 [c1941]</t>
        </is>
      </c>
      <c r="M1008" t="inlineStr">
        <is>
          <t>1974</t>
        </is>
      </c>
      <c r="O1008" t="inlineStr">
        <is>
          <t>eng</t>
        </is>
      </c>
      <c r="P1008" t="inlineStr">
        <is>
          <t>nyu</t>
        </is>
      </c>
      <c r="Q1008" t="inlineStr">
        <is>
          <t>Children and youth : social problems and social policy</t>
        </is>
      </c>
      <c r="R1008" t="inlineStr">
        <is>
          <t xml:space="preserve">HV </t>
        </is>
      </c>
      <c r="S1008" t="n">
        <v>1</v>
      </c>
      <c r="T1008" t="n">
        <v>1</v>
      </c>
      <c r="U1008" t="inlineStr">
        <is>
          <t>2008-03-14</t>
        </is>
      </c>
      <c r="V1008" t="inlineStr">
        <is>
          <t>2008-03-14</t>
        </is>
      </c>
      <c r="W1008" t="inlineStr">
        <is>
          <t>1997-08-21</t>
        </is>
      </c>
      <c r="X1008" t="inlineStr">
        <is>
          <t>1997-08-21</t>
        </is>
      </c>
      <c r="Y1008" t="n">
        <v>118</v>
      </c>
      <c r="Z1008" t="n">
        <v>99</v>
      </c>
      <c r="AA1008" t="n">
        <v>100</v>
      </c>
      <c r="AB1008" t="n">
        <v>3</v>
      </c>
      <c r="AC1008" t="n">
        <v>3</v>
      </c>
      <c r="AD1008" t="n">
        <v>7</v>
      </c>
      <c r="AE1008" t="n">
        <v>7</v>
      </c>
      <c r="AF1008" t="n">
        <v>2</v>
      </c>
      <c r="AG1008" t="n">
        <v>2</v>
      </c>
      <c r="AH1008" t="n">
        <v>1</v>
      </c>
      <c r="AI1008" t="n">
        <v>1</v>
      </c>
      <c r="AJ1008" t="n">
        <v>1</v>
      </c>
      <c r="AK1008" t="n">
        <v>1</v>
      </c>
      <c r="AL1008" t="n">
        <v>1</v>
      </c>
      <c r="AM1008" t="n">
        <v>1</v>
      </c>
      <c r="AN1008" t="n">
        <v>2</v>
      </c>
      <c r="AO1008" t="n">
        <v>2</v>
      </c>
      <c r="AP1008" t="inlineStr">
        <is>
          <t>No</t>
        </is>
      </c>
      <c r="AQ1008" t="inlineStr">
        <is>
          <t>No</t>
        </is>
      </c>
      <c r="AS1008">
        <f>HYPERLINK("https://creighton-primo.hosted.exlibrisgroup.com/primo-explore/search?tab=default_tab&amp;search_scope=EVERYTHING&amp;vid=01CRU&amp;lang=en_US&amp;offset=0&amp;query=any,contains,991003364639702656","Catalog Record")</f>
        <v/>
      </c>
      <c r="AT1008">
        <f>HYPERLINK("http://www.worldcat.org/oclc/900968","WorldCat Record")</f>
        <v/>
      </c>
      <c r="AU1008" t="inlineStr">
        <is>
          <t>9565879203:eng</t>
        </is>
      </c>
      <c r="AV1008" t="inlineStr">
        <is>
          <t>900968</t>
        </is>
      </c>
      <c r="AW1008" t="inlineStr">
        <is>
          <t>991003364639702656</t>
        </is>
      </c>
      <c r="AX1008" t="inlineStr">
        <is>
          <t>991003364639702656</t>
        </is>
      </c>
      <c r="AY1008" t="inlineStr">
        <is>
          <t>2266325860002656</t>
        </is>
      </c>
      <c r="AZ1008" t="inlineStr">
        <is>
          <t>BOOK</t>
        </is>
      </c>
      <c r="BB1008" t="inlineStr">
        <is>
          <t>9780405059759</t>
        </is>
      </c>
      <c r="BC1008" t="inlineStr">
        <is>
          <t>32285003156410</t>
        </is>
      </c>
      <c r="BD1008" t="inlineStr">
        <is>
          <t>893805722</t>
        </is>
      </c>
    </row>
    <row r="1009">
      <c r="A1009" t="inlineStr">
        <is>
          <t>No</t>
        </is>
      </c>
      <c r="B1009" t="inlineStr">
        <is>
          <t>HV741 .R35 1999</t>
        </is>
      </c>
      <c r="C1009" t="inlineStr">
        <is>
          <t>0                      HV 0741000R  35          1999</t>
        </is>
      </c>
      <c r="D1009" t="inlineStr">
        <is>
          <t>Raising our children out of poverty / John J. Stretch ... [et al.], editors.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L1009" t="inlineStr">
        <is>
          <t>New York : Haworth Pastoral Press, c1999.</t>
        </is>
      </c>
      <c r="M1009" t="inlineStr">
        <is>
          <t>1999</t>
        </is>
      </c>
      <c r="O1009" t="inlineStr">
        <is>
          <t>eng</t>
        </is>
      </c>
      <c r="P1009" t="inlineStr">
        <is>
          <t>nyu</t>
        </is>
      </c>
      <c r="R1009" t="inlineStr">
        <is>
          <t xml:space="preserve">HV </t>
        </is>
      </c>
      <c r="S1009" t="n">
        <v>6</v>
      </c>
      <c r="T1009" t="n">
        <v>6</v>
      </c>
      <c r="U1009" t="inlineStr">
        <is>
          <t>2010-11-14</t>
        </is>
      </c>
      <c r="V1009" t="inlineStr">
        <is>
          <t>2010-11-14</t>
        </is>
      </c>
      <c r="W1009" t="inlineStr">
        <is>
          <t>2001-02-27</t>
        </is>
      </c>
      <c r="X1009" t="inlineStr">
        <is>
          <t>2001-02-27</t>
        </is>
      </c>
      <c r="Y1009" t="n">
        <v>104</v>
      </c>
      <c r="Z1009" t="n">
        <v>86</v>
      </c>
      <c r="AA1009" t="n">
        <v>106</v>
      </c>
      <c r="AB1009" t="n">
        <v>1</v>
      </c>
      <c r="AC1009" t="n">
        <v>1</v>
      </c>
      <c r="AD1009" t="n">
        <v>3</v>
      </c>
      <c r="AE1009" t="n">
        <v>3</v>
      </c>
      <c r="AF1009" t="n">
        <v>1</v>
      </c>
      <c r="AG1009" t="n">
        <v>1</v>
      </c>
      <c r="AH1009" t="n">
        <v>0</v>
      </c>
      <c r="AI1009" t="n">
        <v>0</v>
      </c>
      <c r="AJ1009" t="n">
        <v>2</v>
      </c>
      <c r="AK1009" t="n">
        <v>2</v>
      </c>
      <c r="AL1009" t="n">
        <v>0</v>
      </c>
      <c r="AM1009" t="n">
        <v>0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No</t>
        </is>
      </c>
      <c r="AS1009">
        <f>HYPERLINK("https://creighton-primo.hosted.exlibrisgroup.com/primo-explore/search?tab=default_tab&amp;search_scope=EVERYTHING&amp;vid=01CRU&amp;lang=en_US&amp;offset=0&amp;query=any,contains,991003473929702656","Catalog Record")</f>
        <v/>
      </c>
      <c r="AT1009">
        <f>HYPERLINK("http://www.worldcat.org/oclc/43118207","WorldCat Record")</f>
        <v/>
      </c>
      <c r="AU1009" t="inlineStr">
        <is>
          <t>1902964565:eng</t>
        </is>
      </c>
      <c r="AV1009" t="inlineStr">
        <is>
          <t>43118207</t>
        </is>
      </c>
      <c r="AW1009" t="inlineStr">
        <is>
          <t>991003473929702656</t>
        </is>
      </c>
      <c r="AX1009" t="inlineStr">
        <is>
          <t>991003473929702656</t>
        </is>
      </c>
      <c r="AY1009" t="inlineStr">
        <is>
          <t>2266422110002656</t>
        </is>
      </c>
      <c r="AZ1009" t="inlineStr">
        <is>
          <t>BOOK</t>
        </is>
      </c>
      <c r="BB1009" t="inlineStr">
        <is>
          <t>9780789008350</t>
        </is>
      </c>
      <c r="BC1009" t="inlineStr">
        <is>
          <t>32285004297676</t>
        </is>
      </c>
      <c r="BD1009" t="inlineStr">
        <is>
          <t>893904379</t>
        </is>
      </c>
    </row>
    <row r="1010">
      <c r="A1010" t="inlineStr">
        <is>
          <t>No</t>
        </is>
      </c>
      <c r="B1010" t="inlineStr">
        <is>
          <t>HV741 .R565 2004</t>
        </is>
      </c>
      <c r="C1010" t="inlineStr">
        <is>
          <t>0                      HV 0741000R  565         2004</t>
        </is>
      </c>
      <c r="D1010" t="inlineStr">
        <is>
          <t>Risk and resilience in childhood : an ecological perspective / Mark W. Fraser, editor.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L1010" t="inlineStr">
        <is>
          <t>Washington, DC : NASW Press, c2004.</t>
        </is>
      </c>
      <c r="M1010" t="inlineStr">
        <is>
          <t>2004</t>
        </is>
      </c>
      <c r="N1010" t="inlineStr">
        <is>
          <t>2nd ed.</t>
        </is>
      </c>
      <c r="O1010" t="inlineStr">
        <is>
          <t>eng</t>
        </is>
      </c>
      <c r="P1010" t="inlineStr">
        <is>
          <t>dcu</t>
        </is>
      </c>
      <c r="R1010" t="inlineStr">
        <is>
          <t xml:space="preserve">HV </t>
        </is>
      </c>
      <c r="S1010" t="n">
        <v>1</v>
      </c>
      <c r="T1010" t="n">
        <v>1</v>
      </c>
      <c r="U1010" t="inlineStr">
        <is>
          <t>2007-08-24</t>
        </is>
      </c>
      <c r="V1010" t="inlineStr">
        <is>
          <t>2007-08-24</t>
        </is>
      </c>
      <c r="W1010" t="inlineStr">
        <is>
          <t>2004-02-24</t>
        </is>
      </c>
      <c r="X1010" t="inlineStr">
        <is>
          <t>2004-02-24</t>
        </is>
      </c>
      <c r="Y1010" t="n">
        <v>446</v>
      </c>
      <c r="Z1010" t="n">
        <v>376</v>
      </c>
      <c r="AA1010" t="n">
        <v>559</v>
      </c>
      <c r="AB1010" t="n">
        <v>5</v>
      </c>
      <c r="AC1010" t="n">
        <v>7</v>
      </c>
      <c r="AD1010" t="n">
        <v>16</v>
      </c>
      <c r="AE1010" t="n">
        <v>25</v>
      </c>
      <c r="AF1010" t="n">
        <v>5</v>
      </c>
      <c r="AG1010" t="n">
        <v>8</v>
      </c>
      <c r="AH1010" t="n">
        <v>2</v>
      </c>
      <c r="AI1010" t="n">
        <v>6</v>
      </c>
      <c r="AJ1010" t="n">
        <v>6</v>
      </c>
      <c r="AK1010" t="n">
        <v>9</v>
      </c>
      <c r="AL1010" t="n">
        <v>4</v>
      </c>
      <c r="AM1010" t="n">
        <v>6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HYPERLINK("https://creighton-primo.hosted.exlibrisgroup.com/primo-explore/search?tab=default_tab&amp;search_scope=EVERYTHING&amp;vid=01CRU&amp;lang=en_US&amp;offset=0&amp;query=any,contains,991004162779702656","Catalog Record")</f>
        <v/>
      </c>
      <c r="AT1010">
        <f>HYPERLINK("http://www.worldcat.org/oclc/52429395","WorldCat Record")</f>
        <v/>
      </c>
      <c r="AU1010" t="inlineStr">
        <is>
          <t>796401745:eng</t>
        </is>
      </c>
      <c r="AV1010" t="inlineStr">
        <is>
          <t>52429395</t>
        </is>
      </c>
      <c r="AW1010" t="inlineStr">
        <is>
          <t>991004162779702656</t>
        </is>
      </c>
      <c r="AX1010" t="inlineStr">
        <is>
          <t>991004162779702656</t>
        </is>
      </c>
      <c r="AY1010" t="inlineStr">
        <is>
          <t>2261444470002656</t>
        </is>
      </c>
      <c r="AZ1010" t="inlineStr">
        <is>
          <t>BOOK</t>
        </is>
      </c>
      <c r="BB1010" t="inlineStr">
        <is>
          <t>9780871013569</t>
        </is>
      </c>
      <c r="BC1010" t="inlineStr">
        <is>
          <t>32285004890561</t>
        </is>
      </c>
      <c r="BD1010" t="inlineStr">
        <is>
          <t>893435966</t>
        </is>
      </c>
    </row>
    <row r="1011">
      <c r="A1011" t="inlineStr">
        <is>
          <t>No</t>
        </is>
      </c>
      <c r="B1011" t="inlineStr">
        <is>
          <t>HV741 .R65 1987</t>
        </is>
      </c>
      <c r="C1011" t="inlineStr">
        <is>
          <t>0                      HV 0741000R  65          1987</t>
        </is>
      </c>
      <c r="D1011" t="inlineStr">
        <is>
          <t>Working with children and adolescents in groups / Sheldon D. Rose, Jeffrey L. Edleson.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Rose, Sheldon D.</t>
        </is>
      </c>
      <c r="L1011" t="inlineStr">
        <is>
          <t>San Francisco : Jossey-Bass, c1987.</t>
        </is>
      </c>
      <c r="M1011" t="inlineStr">
        <is>
          <t>1987</t>
        </is>
      </c>
      <c r="N1011" t="inlineStr">
        <is>
          <t>1st ed.</t>
        </is>
      </c>
      <c r="O1011" t="inlineStr">
        <is>
          <t>eng</t>
        </is>
      </c>
      <c r="P1011" t="inlineStr">
        <is>
          <t>cau</t>
        </is>
      </c>
      <c r="Q1011" t="inlineStr">
        <is>
          <t>The Jossey-Bass social and behavioral science series</t>
        </is>
      </c>
      <c r="R1011" t="inlineStr">
        <is>
          <t xml:space="preserve">HV </t>
        </is>
      </c>
      <c r="S1011" t="n">
        <v>10</v>
      </c>
      <c r="T1011" t="n">
        <v>10</v>
      </c>
      <c r="U1011" t="inlineStr">
        <is>
          <t>1996-01-29</t>
        </is>
      </c>
      <c r="V1011" t="inlineStr">
        <is>
          <t>1996-01-29</t>
        </is>
      </c>
      <c r="W1011" t="inlineStr">
        <is>
          <t>1990-06-06</t>
        </is>
      </c>
      <c r="X1011" t="inlineStr">
        <is>
          <t>1990-06-06</t>
        </is>
      </c>
      <c r="Y1011" t="n">
        <v>589</v>
      </c>
      <c r="Z1011" t="n">
        <v>489</v>
      </c>
      <c r="AA1011" t="n">
        <v>497</v>
      </c>
      <c r="AB1011" t="n">
        <v>6</v>
      </c>
      <c r="AC1011" t="n">
        <v>6</v>
      </c>
      <c r="AD1011" t="n">
        <v>23</v>
      </c>
      <c r="AE1011" t="n">
        <v>23</v>
      </c>
      <c r="AF1011" t="n">
        <v>7</v>
      </c>
      <c r="AG1011" t="n">
        <v>7</v>
      </c>
      <c r="AH1011" t="n">
        <v>7</v>
      </c>
      <c r="AI1011" t="n">
        <v>7</v>
      </c>
      <c r="AJ1011" t="n">
        <v>10</v>
      </c>
      <c r="AK1011" t="n">
        <v>10</v>
      </c>
      <c r="AL1011" t="n">
        <v>5</v>
      </c>
      <c r="AM1011" t="n">
        <v>5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HYPERLINK("http://catalog.hathitrust.org/Record/000821756","HathiTrust Record")</f>
        <v/>
      </c>
      <c r="AS1011">
        <f>HYPERLINK("https://creighton-primo.hosted.exlibrisgroup.com/primo-explore/search?tab=default_tab&amp;search_scope=EVERYTHING&amp;vid=01CRU&amp;lang=en_US&amp;offset=0&amp;query=any,contains,991000901119702656","Catalog Record")</f>
        <v/>
      </c>
      <c r="AT1011">
        <f>HYPERLINK("http://www.worldcat.org/oclc/14067662","WorldCat Record")</f>
        <v/>
      </c>
      <c r="AU1011" t="inlineStr">
        <is>
          <t>7200429:eng</t>
        </is>
      </c>
      <c r="AV1011" t="inlineStr">
        <is>
          <t>14067662</t>
        </is>
      </c>
      <c r="AW1011" t="inlineStr">
        <is>
          <t>991000901119702656</t>
        </is>
      </c>
      <c r="AX1011" t="inlineStr">
        <is>
          <t>991000901119702656</t>
        </is>
      </c>
      <c r="AY1011" t="inlineStr">
        <is>
          <t>2255891610002656</t>
        </is>
      </c>
      <c r="AZ1011" t="inlineStr">
        <is>
          <t>BOOK</t>
        </is>
      </c>
      <c r="BB1011" t="inlineStr">
        <is>
          <t>9781555420093</t>
        </is>
      </c>
      <c r="BC1011" t="inlineStr">
        <is>
          <t>32285000182229</t>
        </is>
      </c>
      <c r="BD1011" t="inlineStr">
        <is>
          <t>893407635</t>
        </is>
      </c>
    </row>
    <row r="1012">
      <c r="A1012" t="inlineStr">
        <is>
          <t>No</t>
        </is>
      </c>
      <c r="B1012" t="inlineStr">
        <is>
          <t>HV741 .S34 1992</t>
        </is>
      </c>
      <c r="C1012" t="inlineStr">
        <is>
          <t>0                      HV 0741000S  34          1992</t>
        </is>
      </c>
      <c r="D1012" t="inlineStr">
        <is>
          <t>Saving children at risk : poverty and disabilities / Travis Thompson, Susan C. Hupp, editors.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Newbury Park : Sage Publications, c1992.</t>
        </is>
      </c>
      <c r="M1012" t="inlineStr">
        <is>
          <t>1992</t>
        </is>
      </c>
      <c r="O1012" t="inlineStr">
        <is>
          <t>eng</t>
        </is>
      </c>
      <c r="P1012" t="inlineStr">
        <is>
          <t>cau</t>
        </is>
      </c>
      <c r="Q1012" t="inlineStr">
        <is>
          <t>Sage focus editions ; 131</t>
        </is>
      </c>
      <c r="R1012" t="inlineStr">
        <is>
          <t xml:space="preserve">HV </t>
        </is>
      </c>
      <c r="S1012" t="n">
        <v>43</v>
      </c>
      <c r="T1012" t="n">
        <v>43</v>
      </c>
      <c r="U1012" t="inlineStr">
        <is>
          <t>2008-09-23</t>
        </is>
      </c>
      <c r="V1012" t="inlineStr">
        <is>
          <t>2008-09-23</t>
        </is>
      </c>
      <c r="W1012" t="inlineStr">
        <is>
          <t>1992-07-08</t>
        </is>
      </c>
      <c r="X1012" t="inlineStr">
        <is>
          <t>1992-07-08</t>
        </is>
      </c>
      <c r="Y1012" t="n">
        <v>390</v>
      </c>
      <c r="Z1012" t="n">
        <v>305</v>
      </c>
      <c r="AA1012" t="n">
        <v>316</v>
      </c>
      <c r="AB1012" t="n">
        <v>3</v>
      </c>
      <c r="AC1012" t="n">
        <v>3</v>
      </c>
      <c r="AD1012" t="n">
        <v>20</v>
      </c>
      <c r="AE1012" t="n">
        <v>20</v>
      </c>
      <c r="AF1012" t="n">
        <v>8</v>
      </c>
      <c r="AG1012" t="n">
        <v>8</v>
      </c>
      <c r="AH1012" t="n">
        <v>5</v>
      </c>
      <c r="AI1012" t="n">
        <v>5</v>
      </c>
      <c r="AJ1012" t="n">
        <v>10</v>
      </c>
      <c r="AK1012" t="n">
        <v>10</v>
      </c>
      <c r="AL1012" t="n">
        <v>2</v>
      </c>
      <c r="AM1012" t="n">
        <v>2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HYPERLINK("http://catalog.hathitrust.org/Record/002495047","HathiTrust Record")</f>
        <v/>
      </c>
      <c r="AS1012">
        <f>HYPERLINK("https://creighton-primo.hosted.exlibrisgroup.com/primo-explore/search?tab=default_tab&amp;search_scope=EVERYTHING&amp;vid=01CRU&amp;lang=en_US&amp;offset=0&amp;query=any,contains,991001852819702656","Catalog Record")</f>
        <v/>
      </c>
      <c r="AT1012">
        <f>HYPERLINK("http://www.worldcat.org/oclc/23253372","WorldCat Record")</f>
        <v/>
      </c>
      <c r="AU1012" t="inlineStr">
        <is>
          <t>836724876:eng</t>
        </is>
      </c>
      <c r="AV1012" t="inlineStr">
        <is>
          <t>23253372</t>
        </is>
      </c>
      <c r="AW1012" t="inlineStr">
        <is>
          <t>991001852819702656</t>
        </is>
      </c>
      <c r="AX1012" t="inlineStr">
        <is>
          <t>991001852819702656</t>
        </is>
      </c>
      <c r="AY1012" t="inlineStr">
        <is>
          <t>2265992370002656</t>
        </is>
      </c>
      <c r="AZ1012" t="inlineStr">
        <is>
          <t>BOOK</t>
        </is>
      </c>
      <c r="BB1012" t="inlineStr">
        <is>
          <t>9780803939684</t>
        </is>
      </c>
      <c r="BC1012" t="inlineStr">
        <is>
          <t>32285001157279</t>
        </is>
      </c>
      <c r="BD1012" t="inlineStr">
        <is>
          <t>893690969</t>
        </is>
      </c>
    </row>
    <row r="1013">
      <c r="A1013" t="inlineStr">
        <is>
          <t>No</t>
        </is>
      </c>
      <c r="B1013" t="inlineStr">
        <is>
          <t>HV741 .S385 2000</t>
        </is>
      </c>
      <c r="C1013" t="inlineStr">
        <is>
          <t>0                      HV 0741000S  385         2000</t>
        </is>
      </c>
      <c r="D1013" t="inlineStr">
        <is>
          <t>Securing the future : investing in children from birth to college / Sheldon Danziger and Jane Waldfogel, editors.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New York : Russell Sage Foundation, 2000.</t>
        </is>
      </c>
      <c r="M1013" t="inlineStr">
        <is>
          <t>2000</t>
        </is>
      </c>
      <c r="O1013" t="inlineStr">
        <is>
          <t>eng</t>
        </is>
      </c>
      <c r="P1013" t="inlineStr">
        <is>
          <t>nyu</t>
        </is>
      </c>
      <c r="Q1013" t="inlineStr">
        <is>
          <t>The Ford Foundation series on asset building</t>
        </is>
      </c>
      <c r="R1013" t="inlineStr">
        <is>
          <t xml:space="preserve">HV </t>
        </is>
      </c>
      <c r="S1013" t="n">
        <v>3</v>
      </c>
      <c r="T1013" t="n">
        <v>3</v>
      </c>
      <c r="U1013" t="inlineStr">
        <is>
          <t>2008-09-23</t>
        </is>
      </c>
      <c r="V1013" t="inlineStr">
        <is>
          <t>2008-09-23</t>
        </is>
      </c>
      <c r="W1013" t="inlineStr">
        <is>
          <t>2001-01-22</t>
        </is>
      </c>
      <c r="X1013" t="inlineStr">
        <is>
          <t>2001-01-22</t>
        </is>
      </c>
      <c r="Y1013" t="n">
        <v>498</v>
      </c>
      <c r="Z1013" t="n">
        <v>460</v>
      </c>
      <c r="AA1013" t="n">
        <v>508</v>
      </c>
      <c r="AB1013" t="n">
        <v>4</v>
      </c>
      <c r="AC1013" t="n">
        <v>4</v>
      </c>
      <c r="AD1013" t="n">
        <v>22</v>
      </c>
      <c r="AE1013" t="n">
        <v>25</v>
      </c>
      <c r="AF1013" t="n">
        <v>9</v>
      </c>
      <c r="AG1013" t="n">
        <v>12</v>
      </c>
      <c r="AH1013" t="n">
        <v>5</v>
      </c>
      <c r="AI1013" t="n">
        <v>6</v>
      </c>
      <c r="AJ1013" t="n">
        <v>11</v>
      </c>
      <c r="AK1013" t="n">
        <v>11</v>
      </c>
      <c r="AL1013" t="n">
        <v>2</v>
      </c>
      <c r="AM1013" t="n">
        <v>2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HYPERLINK("https://creighton-primo.hosted.exlibrisgroup.com/primo-explore/search?tab=default_tab&amp;search_scope=EVERYTHING&amp;vid=01CRU&amp;lang=en_US&amp;offset=0&amp;query=any,contains,991003331139702656","Catalog Record")</f>
        <v/>
      </c>
      <c r="AT1013">
        <f>HYPERLINK("http://www.worldcat.org/oclc/43599139","WorldCat Record")</f>
        <v/>
      </c>
      <c r="AU1013" t="inlineStr">
        <is>
          <t>836946915:eng</t>
        </is>
      </c>
      <c r="AV1013" t="inlineStr">
        <is>
          <t>43599139</t>
        </is>
      </c>
      <c r="AW1013" t="inlineStr">
        <is>
          <t>991003331139702656</t>
        </is>
      </c>
      <c r="AX1013" t="inlineStr">
        <is>
          <t>991003331139702656</t>
        </is>
      </c>
      <c r="AY1013" t="inlineStr">
        <is>
          <t>2266531900002656</t>
        </is>
      </c>
      <c r="AZ1013" t="inlineStr">
        <is>
          <t>BOOK</t>
        </is>
      </c>
      <c r="BB1013" t="inlineStr">
        <is>
          <t>9780871548993</t>
        </is>
      </c>
      <c r="BC1013" t="inlineStr">
        <is>
          <t>32285004290267</t>
        </is>
      </c>
      <c r="BD1013" t="inlineStr">
        <is>
          <t>893227959</t>
        </is>
      </c>
    </row>
    <row r="1014">
      <c r="A1014" t="inlineStr">
        <is>
          <t>No</t>
        </is>
      </c>
      <c r="B1014" t="inlineStr">
        <is>
          <t>HV741 .S42 1991</t>
        </is>
      </c>
      <c r="C1014" t="inlineStr">
        <is>
          <t>0                      HV 0741000S  42          1991</t>
        </is>
      </c>
      <c r="D1014" t="inlineStr">
        <is>
          <t>Outside the dream : child poverty in America / photographs by Stephen Shames ; introduction by Jonathan Kozol ; afterword by Marian Wright Edelman.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Shames, Stephen.</t>
        </is>
      </c>
      <c r="L1014" t="inlineStr">
        <is>
          <t>New York, N.Y. : Aperture ; [Washington, D.C.] : Children's Defense Fund, c1991.</t>
        </is>
      </c>
      <c r="M1014" t="inlineStr">
        <is>
          <t>1991</t>
        </is>
      </c>
      <c r="O1014" t="inlineStr">
        <is>
          <t>eng</t>
        </is>
      </c>
      <c r="P1014" t="inlineStr">
        <is>
          <t>nyu</t>
        </is>
      </c>
      <c r="R1014" t="inlineStr">
        <is>
          <t xml:space="preserve">HV </t>
        </is>
      </c>
      <c r="S1014" t="n">
        <v>3</v>
      </c>
      <c r="T1014" t="n">
        <v>3</v>
      </c>
      <c r="U1014" t="inlineStr">
        <is>
          <t>2008-09-23</t>
        </is>
      </c>
      <c r="V1014" t="inlineStr">
        <is>
          <t>2008-09-23</t>
        </is>
      </c>
      <c r="W1014" t="inlineStr">
        <is>
          <t>2001-07-18</t>
        </is>
      </c>
      <c r="X1014" t="inlineStr">
        <is>
          <t>2001-07-18</t>
        </is>
      </c>
      <c r="Y1014" t="n">
        <v>519</v>
      </c>
      <c r="Z1014" t="n">
        <v>484</v>
      </c>
      <c r="AA1014" t="n">
        <v>486</v>
      </c>
      <c r="AB1014" t="n">
        <v>8</v>
      </c>
      <c r="AC1014" t="n">
        <v>8</v>
      </c>
      <c r="AD1014" t="n">
        <v>16</v>
      </c>
      <c r="AE1014" t="n">
        <v>16</v>
      </c>
      <c r="AF1014" t="n">
        <v>4</v>
      </c>
      <c r="AG1014" t="n">
        <v>4</v>
      </c>
      <c r="AH1014" t="n">
        <v>6</v>
      </c>
      <c r="AI1014" t="n">
        <v>6</v>
      </c>
      <c r="AJ1014" t="n">
        <v>4</v>
      </c>
      <c r="AK1014" t="n">
        <v>4</v>
      </c>
      <c r="AL1014" t="n">
        <v>5</v>
      </c>
      <c r="AM1014" t="n">
        <v>5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HYPERLINK("http://catalog.hathitrust.org/Record/002491120","HathiTrust Record")</f>
        <v/>
      </c>
      <c r="AS1014">
        <f>HYPERLINK("https://creighton-primo.hosted.exlibrisgroup.com/primo-explore/search?tab=default_tab&amp;search_scope=EVERYTHING&amp;vid=01CRU&amp;lang=en_US&amp;offset=0&amp;query=any,contains,991003572519702656","Catalog Record")</f>
        <v/>
      </c>
      <c r="AT1014">
        <f>HYPERLINK("http://www.worldcat.org/oclc/24138392","WorldCat Record")</f>
        <v/>
      </c>
      <c r="AU1014" t="inlineStr">
        <is>
          <t>251116592:eng</t>
        </is>
      </c>
      <c r="AV1014" t="inlineStr">
        <is>
          <t>24138392</t>
        </is>
      </c>
      <c r="AW1014" t="inlineStr">
        <is>
          <t>991003572519702656</t>
        </is>
      </c>
      <c r="AX1014" t="inlineStr">
        <is>
          <t>991003572519702656</t>
        </is>
      </c>
      <c r="AY1014" t="inlineStr">
        <is>
          <t>2260231810002656</t>
        </is>
      </c>
      <c r="AZ1014" t="inlineStr">
        <is>
          <t>BOOK</t>
        </is>
      </c>
      <c r="BB1014" t="inlineStr">
        <is>
          <t>9780893814687</t>
        </is>
      </c>
      <c r="BC1014" t="inlineStr">
        <is>
          <t>32285004333661</t>
        </is>
      </c>
      <c r="BD1014" t="inlineStr">
        <is>
          <t>893810051</t>
        </is>
      </c>
    </row>
    <row r="1015">
      <c r="A1015" t="inlineStr">
        <is>
          <t>No</t>
        </is>
      </c>
      <c r="B1015" t="inlineStr">
        <is>
          <t>HV741 .S6</t>
        </is>
      </c>
      <c r="C1015" t="inlineStr">
        <is>
          <t>0                      HV 0741000S  6</t>
        </is>
      </c>
      <c r="D1015" t="inlineStr">
        <is>
          <t>The Social context of child abuse and neglect / edited by Leroy H. Pelton.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L1015" t="inlineStr">
        <is>
          <t>New York, N.Y. : Human Sciences Press, c1981.</t>
        </is>
      </c>
      <c r="M1015" t="inlineStr">
        <is>
          <t>1981</t>
        </is>
      </c>
      <c r="O1015" t="inlineStr">
        <is>
          <t>eng</t>
        </is>
      </c>
      <c r="P1015" t="inlineStr">
        <is>
          <t>nyu</t>
        </is>
      </c>
      <c r="R1015" t="inlineStr">
        <is>
          <t xml:space="preserve">HV </t>
        </is>
      </c>
      <c r="S1015" t="n">
        <v>13</v>
      </c>
      <c r="T1015" t="n">
        <v>13</v>
      </c>
      <c r="U1015" t="inlineStr">
        <is>
          <t>2006-11-07</t>
        </is>
      </c>
      <c r="V1015" t="inlineStr">
        <is>
          <t>2006-11-07</t>
        </is>
      </c>
      <c r="W1015" t="inlineStr">
        <is>
          <t>1990-04-23</t>
        </is>
      </c>
      <c r="X1015" t="inlineStr">
        <is>
          <t>1990-04-23</t>
        </is>
      </c>
      <c r="Y1015" t="n">
        <v>825</v>
      </c>
      <c r="Z1015" t="n">
        <v>696</v>
      </c>
      <c r="AA1015" t="n">
        <v>749</v>
      </c>
      <c r="AB1015" t="n">
        <v>9</v>
      </c>
      <c r="AC1015" t="n">
        <v>9</v>
      </c>
      <c r="AD1015" t="n">
        <v>29</v>
      </c>
      <c r="AE1015" t="n">
        <v>32</v>
      </c>
      <c r="AF1015" t="n">
        <v>8</v>
      </c>
      <c r="AG1015" t="n">
        <v>8</v>
      </c>
      <c r="AH1015" t="n">
        <v>4</v>
      </c>
      <c r="AI1015" t="n">
        <v>6</v>
      </c>
      <c r="AJ1015" t="n">
        <v>12</v>
      </c>
      <c r="AK1015" t="n">
        <v>14</v>
      </c>
      <c r="AL1015" t="n">
        <v>7</v>
      </c>
      <c r="AM1015" t="n">
        <v>7</v>
      </c>
      <c r="AN1015" t="n">
        <v>3</v>
      </c>
      <c r="AO1015" t="n">
        <v>3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HYPERLINK("http://catalog.hathitrust.org/Record/004472766","HathiTrust Record")</f>
        <v/>
      </c>
      <c r="AS1015">
        <f>HYPERLINK("https://creighton-primo.hosted.exlibrisgroup.com/primo-explore/search?tab=default_tab&amp;search_scope=EVERYTHING&amp;vid=01CRU&amp;lang=en_US&amp;offset=0&amp;query=any,contains,991004944129702656","Catalog Record")</f>
        <v/>
      </c>
      <c r="AT1015">
        <f>HYPERLINK("http://www.worldcat.org/oclc/6196915","WorldCat Record")</f>
        <v/>
      </c>
      <c r="AU1015" t="inlineStr">
        <is>
          <t>54372393:eng</t>
        </is>
      </c>
      <c r="AV1015" t="inlineStr">
        <is>
          <t>6196915</t>
        </is>
      </c>
      <c r="AW1015" t="inlineStr">
        <is>
          <t>991004944129702656</t>
        </is>
      </c>
      <c r="AX1015" t="inlineStr">
        <is>
          <t>991004944129702656</t>
        </is>
      </c>
      <c r="AY1015" t="inlineStr">
        <is>
          <t>2266390610002656</t>
        </is>
      </c>
      <c r="AZ1015" t="inlineStr">
        <is>
          <t>BOOK</t>
        </is>
      </c>
      <c r="BB1015" t="inlineStr">
        <is>
          <t>9780877055044</t>
        </is>
      </c>
      <c r="BC1015" t="inlineStr">
        <is>
          <t>32285000130814</t>
        </is>
      </c>
      <c r="BD1015" t="inlineStr">
        <is>
          <t>893338311</t>
        </is>
      </c>
    </row>
    <row r="1016">
      <c r="A1016" t="inlineStr">
        <is>
          <t>No</t>
        </is>
      </c>
      <c r="B1016" t="inlineStr">
        <is>
          <t>HV741 .S62 1996</t>
        </is>
      </c>
      <c r="C1016" t="inlineStr">
        <is>
          <t>0                      HV 0741000S  62          1996</t>
        </is>
      </c>
      <c r="D1016" t="inlineStr">
        <is>
          <t>Social policies for children / Irwin Garfinkel, Jennifer L. Hochschild, Sara S. McLanahan, editors.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L1016" t="inlineStr">
        <is>
          <t>Washington, D.C. : Brookings Institution, c1996.</t>
        </is>
      </c>
      <c r="M1016" t="inlineStr">
        <is>
          <t>1996</t>
        </is>
      </c>
      <c r="O1016" t="inlineStr">
        <is>
          <t>eng</t>
        </is>
      </c>
      <c r="P1016" t="inlineStr">
        <is>
          <t>dcu</t>
        </is>
      </c>
      <c r="R1016" t="inlineStr">
        <is>
          <t xml:space="preserve">HV </t>
        </is>
      </c>
      <c r="S1016" t="n">
        <v>14</v>
      </c>
      <c r="T1016" t="n">
        <v>14</v>
      </c>
      <c r="U1016" t="inlineStr">
        <is>
          <t>2006-03-20</t>
        </is>
      </c>
      <c r="V1016" t="inlineStr">
        <is>
          <t>2006-03-20</t>
        </is>
      </c>
      <c r="W1016" t="inlineStr">
        <is>
          <t>1997-03-26</t>
        </is>
      </c>
      <c r="X1016" t="inlineStr">
        <is>
          <t>1997-03-26</t>
        </is>
      </c>
      <c r="Y1016" t="n">
        <v>614</v>
      </c>
      <c r="Z1016" t="n">
        <v>536</v>
      </c>
      <c r="AA1016" t="n">
        <v>1002</v>
      </c>
      <c r="AB1016" t="n">
        <v>4</v>
      </c>
      <c r="AC1016" t="n">
        <v>7</v>
      </c>
      <c r="AD1016" t="n">
        <v>29</v>
      </c>
      <c r="AE1016" t="n">
        <v>33</v>
      </c>
      <c r="AF1016" t="n">
        <v>12</v>
      </c>
      <c r="AG1016" t="n">
        <v>13</v>
      </c>
      <c r="AH1016" t="n">
        <v>7</v>
      </c>
      <c r="AI1016" t="n">
        <v>7</v>
      </c>
      <c r="AJ1016" t="n">
        <v>11</v>
      </c>
      <c r="AK1016" t="n">
        <v>11</v>
      </c>
      <c r="AL1016" t="n">
        <v>3</v>
      </c>
      <c r="AM1016" t="n">
        <v>6</v>
      </c>
      <c r="AN1016" t="n">
        <v>3</v>
      </c>
      <c r="AO1016" t="n">
        <v>3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HYPERLINK("http://catalog.hathitrust.org/Record/003065159","HathiTrust Record")</f>
        <v/>
      </c>
      <c r="AS1016">
        <f>HYPERLINK("https://creighton-primo.hosted.exlibrisgroup.com/primo-explore/search?tab=default_tab&amp;search_scope=EVERYTHING&amp;vid=01CRU&amp;lang=en_US&amp;offset=0&amp;query=any,contains,991002544789702656","Catalog Record")</f>
        <v/>
      </c>
      <c r="AT1016">
        <f>HYPERLINK("http://www.worldcat.org/oclc/33078182","WorldCat Record")</f>
        <v/>
      </c>
      <c r="AU1016" t="inlineStr">
        <is>
          <t>366776225:eng</t>
        </is>
      </c>
      <c r="AV1016" t="inlineStr">
        <is>
          <t>33078182</t>
        </is>
      </c>
      <c r="AW1016" t="inlineStr">
        <is>
          <t>991002544789702656</t>
        </is>
      </c>
      <c r="AX1016" t="inlineStr">
        <is>
          <t>991002544789702656</t>
        </is>
      </c>
      <c r="AY1016" t="inlineStr">
        <is>
          <t>2256480120002656</t>
        </is>
      </c>
      <c r="AZ1016" t="inlineStr">
        <is>
          <t>BOOK</t>
        </is>
      </c>
      <c r="BB1016" t="inlineStr">
        <is>
          <t>9780815736653</t>
        </is>
      </c>
      <c r="BC1016" t="inlineStr">
        <is>
          <t>32285002476702</t>
        </is>
      </c>
      <c r="BD1016" t="inlineStr">
        <is>
          <t>893329222</t>
        </is>
      </c>
    </row>
    <row r="1017">
      <c r="A1017" t="inlineStr">
        <is>
          <t>No</t>
        </is>
      </c>
      <c r="B1017" t="inlineStr">
        <is>
          <t>HV741 .S7442 1984</t>
        </is>
      </c>
      <c r="C1017" t="inlineStr">
        <is>
          <t>0                      HV 0741000S  7442        1984</t>
        </is>
      </c>
      <c r="D1017" t="inlineStr">
        <is>
          <t>Decision making in child welfare services : intake and planning / Theodore J. Stein, Tina L. Rzepnicki.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Stein, Theodore J.</t>
        </is>
      </c>
      <c r="L1017" t="inlineStr">
        <is>
          <t>Boston : Kluwer-Nijhoff Pub. ; Hingham, MA : Distributors for North America, Kluwer Boston, c1984.</t>
        </is>
      </c>
      <c r="M1017" t="inlineStr">
        <is>
          <t>1984</t>
        </is>
      </c>
      <c r="O1017" t="inlineStr">
        <is>
          <t>eng</t>
        </is>
      </c>
      <c r="P1017" t="inlineStr">
        <is>
          <t>mau</t>
        </is>
      </c>
      <c r="Q1017" t="inlineStr">
        <is>
          <t>International series in social welfare</t>
        </is>
      </c>
      <c r="R1017" t="inlineStr">
        <is>
          <t xml:space="preserve">HV </t>
        </is>
      </c>
      <c r="S1017" t="n">
        <v>13</v>
      </c>
      <c r="T1017" t="n">
        <v>13</v>
      </c>
      <c r="U1017" t="inlineStr">
        <is>
          <t>1998-09-24</t>
        </is>
      </c>
      <c r="V1017" t="inlineStr">
        <is>
          <t>1998-09-24</t>
        </is>
      </c>
      <c r="W1017" t="inlineStr">
        <is>
          <t>1993-05-18</t>
        </is>
      </c>
      <c r="X1017" t="inlineStr">
        <is>
          <t>1993-05-18</t>
        </is>
      </c>
      <c r="Y1017" t="n">
        <v>223</v>
      </c>
      <c r="Z1017" t="n">
        <v>178</v>
      </c>
      <c r="AA1017" t="n">
        <v>185</v>
      </c>
      <c r="AB1017" t="n">
        <v>2</v>
      </c>
      <c r="AC1017" t="n">
        <v>2</v>
      </c>
      <c r="AD1017" t="n">
        <v>8</v>
      </c>
      <c r="AE1017" t="n">
        <v>8</v>
      </c>
      <c r="AF1017" t="n">
        <v>2</v>
      </c>
      <c r="AG1017" t="n">
        <v>2</v>
      </c>
      <c r="AH1017" t="n">
        <v>4</v>
      </c>
      <c r="AI1017" t="n">
        <v>4</v>
      </c>
      <c r="AJ1017" t="n">
        <v>4</v>
      </c>
      <c r="AK1017" t="n">
        <v>4</v>
      </c>
      <c r="AL1017" t="n">
        <v>1</v>
      </c>
      <c r="AM1017" t="n">
        <v>1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No</t>
        </is>
      </c>
      <c r="AS1017">
        <f>HYPERLINK("https://creighton-primo.hosted.exlibrisgroup.com/primo-explore/search?tab=default_tab&amp;search_scope=EVERYTHING&amp;vid=01CRU&amp;lang=en_US&amp;offset=0&amp;query=any,contains,991000228769702656","Catalog Record")</f>
        <v/>
      </c>
      <c r="AT1017">
        <f>HYPERLINK("http://www.worldcat.org/oclc/9622499","WorldCat Record")</f>
        <v/>
      </c>
      <c r="AU1017" t="inlineStr">
        <is>
          <t>43195337:eng</t>
        </is>
      </c>
      <c r="AV1017" t="inlineStr">
        <is>
          <t>9622499</t>
        </is>
      </c>
      <c r="AW1017" t="inlineStr">
        <is>
          <t>991000228769702656</t>
        </is>
      </c>
      <c r="AX1017" t="inlineStr">
        <is>
          <t>991000228769702656</t>
        </is>
      </c>
      <c r="AY1017" t="inlineStr">
        <is>
          <t>2269465250002656</t>
        </is>
      </c>
      <c r="AZ1017" t="inlineStr">
        <is>
          <t>BOOK</t>
        </is>
      </c>
      <c r="BB1017" t="inlineStr">
        <is>
          <t>9780898381382</t>
        </is>
      </c>
      <c r="BC1017" t="inlineStr">
        <is>
          <t>32285001682359</t>
        </is>
      </c>
      <c r="BD1017" t="inlineStr">
        <is>
          <t>893425543</t>
        </is>
      </c>
    </row>
    <row r="1018">
      <c r="A1018" t="inlineStr">
        <is>
          <t>No</t>
        </is>
      </c>
      <c r="B1018" t="inlineStr">
        <is>
          <t>HV741 .T65 1998</t>
        </is>
      </c>
      <c r="C1018" t="inlineStr">
        <is>
          <t>0                      HV 0741000T  65          1998</t>
        </is>
      </c>
      <c r="D1018" t="inlineStr">
        <is>
          <t>Child advocacy : history, theory, and practice / James R. Tompkins, Benjamin L. Brooks, Timothy J. Tompkins.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Tompkins, James R., 1935-</t>
        </is>
      </c>
      <c r="L1018" t="inlineStr">
        <is>
          <t>Durham, N.C. : Carolina Academic Press, c1998.</t>
        </is>
      </c>
      <c r="M1018" t="inlineStr">
        <is>
          <t>1998</t>
        </is>
      </c>
      <c r="O1018" t="inlineStr">
        <is>
          <t>eng</t>
        </is>
      </c>
      <c r="P1018" t="inlineStr">
        <is>
          <t>ncu</t>
        </is>
      </c>
      <c r="R1018" t="inlineStr">
        <is>
          <t xml:space="preserve">HV </t>
        </is>
      </c>
      <c r="S1018" t="n">
        <v>3</v>
      </c>
      <c r="T1018" t="n">
        <v>3</v>
      </c>
      <c r="U1018" t="inlineStr">
        <is>
          <t>2006-03-20</t>
        </is>
      </c>
      <c r="V1018" t="inlineStr">
        <is>
          <t>2006-03-20</t>
        </is>
      </c>
      <c r="W1018" t="inlineStr">
        <is>
          <t>1998-09-03</t>
        </is>
      </c>
      <c r="X1018" t="inlineStr">
        <is>
          <t>1998-09-03</t>
        </is>
      </c>
      <c r="Y1018" t="n">
        <v>202</v>
      </c>
      <c r="Z1018" t="n">
        <v>183</v>
      </c>
      <c r="AA1018" t="n">
        <v>185</v>
      </c>
      <c r="AB1018" t="n">
        <v>2</v>
      </c>
      <c r="AC1018" t="n">
        <v>2</v>
      </c>
      <c r="AD1018" t="n">
        <v>9</v>
      </c>
      <c r="AE1018" t="n">
        <v>9</v>
      </c>
      <c r="AF1018" t="n">
        <v>2</v>
      </c>
      <c r="AG1018" t="n">
        <v>2</v>
      </c>
      <c r="AH1018" t="n">
        <v>1</v>
      </c>
      <c r="AI1018" t="n">
        <v>1</v>
      </c>
      <c r="AJ1018" t="n">
        <v>7</v>
      </c>
      <c r="AK1018" t="n">
        <v>7</v>
      </c>
      <c r="AL1018" t="n">
        <v>1</v>
      </c>
      <c r="AM1018" t="n">
        <v>1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HYPERLINK("http://catalog.hathitrust.org/Record/003984195","HathiTrust Record")</f>
        <v/>
      </c>
      <c r="AS1018">
        <f>HYPERLINK("https://creighton-primo.hosted.exlibrisgroup.com/primo-explore/search?tab=default_tab&amp;search_scope=EVERYTHING&amp;vid=01CRU&amp;lang=en_US&amp;offset=0&amp;query=any,contains,991002901149702656","Catalog Record")</f>
        <v/>
      </c>
      <c r="AT1018">
        <f>HYPERLINK("http://www.worldcat.org/oclc/38249822","WorldCat Record")</f>
        <v/>
      </c>
      <c r="AU1018" t="inlineStr">
        <is>
          <t>152265177:eng</t>
        </is>
      </c>
      <c r="AV1018" t="inlineStr">
        <is>
          <t>38249822</t>
        </is>
      </c>
      <c r="AW1018" t="inlineStr">
        <is>
          <t>991002901149702656</t>
        </is>
      </c>
      <c r="AX1018" t="inlineStr">
        <is>
          <t>991002901149702656</t>
        </is>
      </c>
      <c r="AY1018" t="inlineStr">
        <is>
          <t>2272327970002656</t>
        </is>
      </c>
      <c r="AZ1018" t="inlineStr">
        <is>
          <t>BOOK</t>
        </is>
      </c>
      <c r="BB1018" t="inlineStr">
        <is>
          <t>9780890899595</t>
        </is>
      </c>
      <c r="BC1018" t="inlineStr">
        <is>
          <t>32285003465019</t>
        </is>
      </c>
      <c r="BD1018" t="inlineStr">
        <is>
          <t>893893151</t>
        </is>
      </c>
    </row>
    <row r="1019">
      <c r="A1019" t="inlineStr">
        <is>
          <t>No</t>
        </is>
      </c>
      <c r="B1019" t="inlineStr">
        <is>
          <t>HV741 .T682 2001</t>
        </is>
      </c>
      <c r="C1019" t="inlineStr">
        <is>
          <t>0                      HV 0741000T  682         2001</t>
        </is>
      </c>
      <c r="D1019" t="inlineStr">
        <is>
          <t>Exploring child welfare : a practice perspective / Cynthia Crosson-Tower.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K1019" t="inlineStr">
        <is>
          <t>Crosson-Tower, Cynthia.</t>
        </is>
      </c>
      <c r="L1019" t="inlineStr">
        <is>
          <t>Boston, MA : Allyn and Bacon, c2001.</t>
        </is>
      </c>
      <c r="M1019" t="inlineStr">
        <is>
          <t>2001</t>
        </is>
      </c>
      <c r="N1019" t="inlineStr">
        <is>
          <t>2nd ed.</t>
        </is>
      </c>
      <c r="O1019" t="inlineStr">
        <is>
          <t>eng</t>
        </is>
      </c>
      <c r="P1019" t="inlineStr">
        <is>
          <t>mau</t>
        </is>
      </c>
      <c r="R1019" t="inlineStr">
        <is>
          <t xml:space="preserve">HV </t>
        </is>
      </c>
      <c r="S1019" t="n">
        <v>4</v>
      </c>
      <c r="T1019" t="n">
        <v>4</v>
      </c>
      <c r="U1019" t="inlineStr">
        <is>
          <t>2009-02-27</t>
        </is>
      </c>
      <c r="V1019" t="inlineStr">
        <is>
          <t>2009-02-27</t>
        </is>
      </c>
      <c r="W1019" t="inlineStr">
        <is>
          <t>2001-09-27</t>
        </is>
      </c>
      <c r="X1019" t="inlineStr">
        <is>
          <t>2001-09-27</t>
        </is>
      </c>
      <c r="Y1019" t="n">
        <v>144</v>
      </c>
      <c r="Z1019" t="n">
        <v>117</v>
      </c>
      <c r="AA1019" t="n">
        <v>373</v>
      </c>
      <c r="AB1019" t="n">
        <v>2</v>
      </c>
      <c r="AC1019" t="n">
        <v>3</v>
      </c>
      <c r="AD1019" t="n">
        <v>4</v>
      </c>
      <c r="AE1019" t="n">
        <v>13</v>
      </c>
      <c r="AF1019" t="n">
        <v>1</v>
      </c>
      <c r="AG1019" t="n">
        <v>2</v>
      </c>
      <c r="AH1019" t="n">
        <v>0</v>
      </c>
      <c r="AI1019" t="n">
        <v>3</v>
      </c>
      <c r="AJ1019" t="n">
        <v>3</v>
      </c>
      <c r="AK1019" t="n">
        <v>10</v>
      </c>
      <c r="AL1019" t="n">
        <v>1</v>
      </c>
      <c r="AM1019" t="n">
        <v>1</v>
      </c>
      <c r="AN1019" t="n">
        <v>0</v>
      </c>
      <c r="AO1019" t="n">
        <v>1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HYPERLINK("http://catalog.hathitrust.org/Record/004129108","HathiTrust Record")</f>
        <v/>
      </c>
      <c r="AS1019">
        <f>HYPERLINK("https://creighton-primo.hosted.exlibrisgroup.com/primo-explore/search?tab=default_tab&amp;search_scope=EVERYTHING&amp;vid=01CRU&amp;lang=en_US&amp;offset=0&amp;query=any,contains,991003617769702656","Catalog Record")</f>
        <v/>
      </c>
      <c r="AT1019">
        <f>HYPERLINK("http://www.worldcat.org/oclc/43615507","WorldCat Record")</f>
        <v/>
      </c>
      <c r="AU1019" t="inlineStr">
        <is>
          <t>3768849511:eng</t>
        </is>
      </c>
      <c r="AV1019" t="inlineStr">
        <is>
          <t>43615507</t>
        </is>
      </c>
      <c r="AW1019" t="inlineStr">
        <is>
          <t>991003617769702656</t>
        </is>
      </c>
      <c r="AX1019" t="inlineStr">
        <is>
          <t>991003617769702656</t>
        </is>
      </c>
      <c r="AY1019" t="inlineStr">
        <is>
          <t>2264294420002656</t>
        </is>
      </c>
      <c r="AZ1019" t="inlineStr">
        <is>
          <t>BOOK</t>
        </is>
      </c>
      <c r="BB1019" t="inlineStr">
        <is>
          <t>9780205319534</t>
        </is>
      </c>
      <c r="BC1019" t="inlineStr">
        <is>
          <t>32285004393665</t>
        </is>
      </c>
      <c r="BD1019" t="inlineStr">
        <is>
          <t>893604995</t>
        </is>
      </c>
    </row>
    <row r="1020">
      <c r="A1020" t="inlineStr">
        <is>
          <t>No</t>
        </is>
      </c>
      <c r="B1020" t="inlineStr">
        <is>
          <t>HV741 .W25 1975</t>
        </is>
      </c>
      <c r="C1020" t="inlineStr">
        <is>
          <t>0                      HV 0741000W  25          1975</t>
        </is>
      </c>
      <c r="D1020" t="inlineStr">
        <is>
          <t>Physical and sexual abuse of children : causes and treatment / David R. Walters.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Walters, David R., 1934-</t>
        </is>
      </c>
      <c r="L1020" t="inlineStr">
        <is>
          <t>Bloomington : Indiana University Press, [1975]</t>
        </is>
      </c>
      <c r="M1020" t="inlineStr">
        <is>
          <t>1975</t>
        </is>
      </c>
      <c r="O1020" t="inlineStr">
        <is>
          <t>eng</t>
        </is>
      </c>
      <c r="P1020" t="inlineStr">
        <is>
          <t>inu</t>
        </is>
      </c>
      <c r="R1020" t="inlineStr">
        <is>
          <t xml:space="preserve">HV </t>
        </is>
      </c>
      <c r="S1020" t="n">
        <v>7</v>
      </c>
      <c r="T1020" t="n">
        <v>7</v>
      </c>
      <c r="U1020" t="inlineStr">
        <is>
          <t>1996-10-31</t>
        </is>
      </c>
      <c r="V1020" t="inlineStr">
        <is>
          <t>1996-10-31</t>
        </is>
      </c>
      <c r="W1020" t="inlineStr">
        <is>
          <t>1990-12-28</t>
        </is>
      </c>
      <c r="X1020" t="inlineStr">
        <is>
          <t>1990-12-28</t>
        </is>
      </c>
      <c r="Y1020" t="n">
        <v>995</v>
      </c>
      <c r="Z1020" t="n">
        <v>887</v>
      </c>
      <c r="AA1020" t="n">
        <v>894</v>
      </c>
      <c r="AB1020" t="n">
        <v>8</v>
      </c>
      <c r="AC1020" t="n">
        <v>8</v>
      </c>
      <c r="AD1020" t="n">
        <v>31</v>
      </c>
      <c r="AE1020" t="n">
        <v>31</v>
      </c>
      <c r="AF1020" t="n">
        <v>9</v>
      </c>
      <c r="AG1020" t="n">
        <v>9</v>
      </c>
      <c r="AH1020" t="n">
        <v>6</v>
      </c>
      <c r="AI1020" t="n">
        <v>6</v>
      </c>
      <c r="AJ1020" t="n">
        <v>13</v>
      </c>
      <c r="AK1020" t="n">
        <v>13</v>
      </c>
      <c r="AL1020" t="n">
        <v>4</v>
      </c>
      <c r="AM1020" t="n">
        <v>4</v>
      </c>
      <c r="AN1020" t="n">
        <v>4</v>
      </c>
      <c r="AO1020" t="n">
        <v>4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HYPERLINK("http://catalog.hathitrust.org/Record/000023220","HathiTrust Record")</f>
        <v/>
      </c>
      <c r="AS1020">
        <f>HYPERLINK("https://creighton-primo.hosted.exlibrisgroup.com/primo-explore/search?tab=default_tab&amp;search_scope=EVERYTHING&amp;vid=01CRU&amp;lang=en_US&amp;offset=0&amp;query=any,contains,991003746359702656","Catalog Record")</f>
        <v/>
      </c>
      <c r="AT1020">
        <f>HYPERLINK("http://www.worldcat.org/oclc/1418648","WorldCat Record")</f>
        <v/>
      </c>
      <c r="AU1020" t="inlineStr">
        <is>
          <t>836620307:eng</t>
        </is>
      </c>
      <c r="AV1020" t="inlineStr">
        <is>
          <t>1418648</t>
        </is>
      </c>
      <c r="AW1020" t="inlineStr">
        <is>
          <t>991003746359702656</t>
        </is>
      </c>
      <c r="AX1020" t="inlineStr">
        <is>
          <t>991003746359702656</t>
        </is>
      </c>
      <c r="AY1020" t="inlineStr">
        <is>
          <t>2261239810002656</t>
        </is>
      </c>
      <c r="AZ1020" t="inlineStr">
        <is>
          <t>BOOK</t>
        </is>
      </c>
      <c r="BB1020" t="inlineStr">
        <is>
          <t>9780253344908</t>
        </is>
      </c>
      <c r="BC1020" t="inlineStr">
        <is>
          <t>32285000426170</t>
        </is>
      </c>
      <c r="BD1020" t="inlineStr">
        <is>
          <t>893793972</t>
        </is>
      </c>
    </row>
    <row r="1021">
      <c r="A1021" t="inlineStr">
        <is>
          <t>No</t>
        </is>
      </c>
      <c r="B1021" t="inlineStr">
        <is>
          <t>HV741 .W32 1996</t>
        </is>
      </c>
      <c r="C1021" t="inlineStr">
        <is>
          <t>0                      HV 0741000W  32          1996</t>
        </is>
      </c>
      <c r="D1021" t="inlineStr">
        <is>
          <t>The vulnerable child : what really hurts America's children and what we can do about it / Richard Weissbourd.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Weissbourd, Rick.</t>
        </is>
      </c>
      <c r="L1021" t="inlineStr">
        <is>
          <t>Reading, Mass. : Addison-Wesley Pub., c1996.</t>
        </is>
      </c>
      <c r="M1021" t="inlineStr">
        <is>
          <t>1996</t>
        </is>
      </c>
      <c r="O1021" t="inlineStr">
        <is>
          <t>eng</t>
        </is>
      </c>
      <c r="P1021" t="inlineStr">
        <is>
          <t>mau</t>
        </is>
      </c>
      <c r="R1021" t="inlineStr">
        <is>
          <t xml:space="preserve">HV </t>
        </is>
      </c>
      <c r="S1021" t="n">
        <v>11</v>
      </c>
      <c r="T1021" t="n">
        <v>11</v>
      </c>
      <c r="U1021" t="inlineStr">
        <is>
          <t>2009-03-27</t>
        </is>
      </c>
      <c r="V1021" t="inlineStr">
        <is>
          <t>2009-03-27</t>
        </is>
      </c>
      <c r="W1021" t="inlineStr">
        <is>
          <t>1996-08-01</t>
        </is>
      </c>
      <c r="X1021" t="inlineStr">
        <is>
          <t>1996-08-01</t>
        </is>
      </c>
      <c r="Y1021" t="n">
        <v>964</v>
      </c>
      <c r="Z1021" t="n">
        <v>909</v>
      </c>
      <c r="AA1021" t="n">
        <v>943</v>
      </c>
      <c r="AB1021" t="n">
        <v>10</v>
      </c>
      <c r="AC1021" t="n">
        <v>10</v>
      </c>
      <c r="AD1021" t="n">
        <v>33</v>
      </c>
      <c r="AE1021" t="n">
        <v>33</v>
      </c>
      <c r="AF1021" t="n">
        <v>8</v>
      </c>
      <c r="AG1021" t="n">
        <v>8</v>
      </c>
      <c r="AH1021" t="n">
        <v>7</v>
      </c>
      <c r="AI1021" t="n">
        <v>7</v>
      </c>
      <c r="AJ1021" t="n">
        <v>15</v>
      </c>
      <c r="AK1021" t="n">
        <v>15</v>
      </c>
      <c r="AL1021" t="n">
        <v>9</v>
      </c>
      <c r="AM1021" t="n">
        <v>9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HYPERLINK("http://catalog.hathitrust.org/Record/003027895","HathiTrust Record")</f>
        <v/>
      </c>
      <c r="AS1021">
        <f>HYPERLINK("https://creighton-primo.hosted.exlibrisgroup.com/primo-explore/search?tab=default_tab&amp;search_scope=EVERYTHING&amp;vid=01CRU&amp;lang=en_US&amp;offset=0&amp;query=any,contains,991002533989702656","Catalog Record")</f>
        <v/>
      </c>
      <c r="AT1021">
        <f>HYPERLINK("http://www.worldcat.org/oclc/32924332","WorldCat Record")</f>
        <v/>
      </c>
      <c r="AU1021" t="inlineStr">
        <is>
          <t>600523:eng</t>
        </is>
      </c>
      <c r="AV1021" t="inlineStr">
        <is>
          <t>32924332</t>
        </is>
      </c>
      <c r="AW1021" t="inlineStr">
        <is>
          <t>991002533989702656</t>
        </is>
      </c>
      <c r="AX1021" t="inlineStr">
        <is>
          <t>991002533989702656</t>
        </is>
      </c>
      <c r="AY1021" t="inlineStr">
        <is>
          <t>2262437280002656</t>
        </is>
      </c>
      <c r="AZ1021" t="inlineStr">
        <is>
          <t>BOOK</t>
        </is>
      </c>
      <c r="BB1021" t="inlineStr">
        <is>
          <t>9780201483956</t>
        </is>
      </c>
      <c r="BC1021" t="inlineStr">
        <is>
          <t>32285002208949</t>
        </is>
      </c>
      <c r="BD1021" t="inlineStr">
        <is>
          <t>893616238</t>
        </is>
      </c>
    </row>
    <row r="1022">
      <c r="A1022" t="inlineStr">
        <is>
          <t>No</t>
        </is>
      </c>
      <c r="B1022" t="inlineStr">
        <is>
          <t>HV741 .W395 1994</t>
        </is>
      </c>
      <c r="C1022" t="inlineStr">
        <is>
          <t>0                      HV 0741000W  395         1994</t>
        </is>
      </c>
      <c r="D1022" t="inlineStr">
        <is>
          <t>When there's no place like home : options for children living apart from their natural families / edited by Jan Blacher.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L1022" t="inlineStr">
        <is>
          <t>Baltimore : P.H. Brookes Pub. Co., c1994.</t>
        </is>
      </c>
      <c r="M1022" t="inlineStr">
        <is>
          <t>1994</t>
        </is>
      </c>
      <c r="O1022" t="inlineStr">
        <is>
          <t>eng</t>
        </is>
      </c>
      <c r="P1022" t="inlineStr">
        <is>
          <t>mdu</t>
        </is>
      </c>
      <c r="R1022" t="inlineStr">
        <is>
          <t xml:space="preserve">HV </t>
        </is>
      </c>
      <c r="S1022" t="n">
        <v>13</v>
      </c>
      <c r="T1022" t="n">
        <v>13</v>
      </c>
      <c r="U1022" t="inlineStr">
        <is>
          <t>2004-02-16</t>
        </is>
      </c>
      <c r="V1022" t="inlineStr">
        <is>
          <t>2004-02-16</t>
        </is>
      </c>
      <c r="W1022" t="inlineStr">
        <is>
          <t>1997-01-03</t>
        </is>
      </c>
      <c r="X1022" t="inlineStr">
        <is>
          <t>1997-01-03</t>
        </is>
      </c>
      <c r="Y1022" t="n">
        <v>354</v>
      </c>
      <c r="Z1022" t="n">
        <v>300</v>
      </c>
      <c r="AA1022" t="n">
        <v>307</v>
      </c>
      <c r="AB1022" t="n">
        <v>2</v>
      </c>
      <c r="AC1022" t="n">
        <v>2</v>
      </c>
      <c r="AD1022" t="n">
        <v>11</v>
      </c>
      <c r="AE1022" t="n">
        <v>11</v>
      </c>
      <c r="AF1022" t="n">
        <v>4</v>
      </c>
      <c r="AG1022" t="n">
        <v>4</v>
      </c>
      <c r="AH1022" t="n">
        <v>2</v>
      </c>
      <c r="AI1022" t="n">
        <v>2</v>
      </c>
      <c r="AJ1022" t="n">
        <v>8</v>
      </c>
      <c r="AK1022" t="n">
        <v>8</v>
      </c>
      <c r="AL1022" t="n">
        <v>1</v>
      </c>
      <c r="AM1022" t="n">
        <v>1</v>
      </c>
      <c r="AN1022" t="n">
        <v>1</v>
      </c>
      <c r="AO1022" t="n">
        <v>1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HYPERLINK("http://catalog.hathitrust.org/Record/002875189","HathiTrust Record")</f>
        <v/>
      </c>
      <c r="AS1022">
        <f>HYPERLINK("https://creighton-primo.hosted.exlibrisgroup.com/primo-explore/search?tab=default_tab&amp;search_scope=EVERYTHING&amp;vid=01CRU&amp;lang=en_US&amp;offset=0&amp;query=any,contains,991002281959702656","Catalog Record")</f>
        <v/>
      </c>
      <c r="AT1022">
        <f>HYPERLINK("http://www.worldcat.org/oclc/29594585","WorldCat Record")</f>
        <v/>
      </c>
      <c r="AU1022" t="inlineStr">
        <is>
          <t>31892164:eng</t>
        </is>
      </c>
      <c r="AV1022" t="inlineStr">
        <is>
          <t>29594585</t>
        </is>
      </c>
      <c r="AW1022" t="inlineStr">
        <is>
          <t>991002281959702656</t>
        </is>
      </c>
      <c r="AX1022" t="inlineStr">
        <is>
          <t>991002281959702656</t>
        </is>
      </c>
      <c r="AY1022" t="inlineStr">
        <is>
          <t>2260627210002656</t>
        </is>
      </c>
      <c r="AZ1022" t="inlineStr">
        <is>
          <t>BOOK</t>
        </is>
      </c>
      <c r="BB1022" t="inlineStr">
        <is>
          <t>9781557661456</t>
        </is>
      </c>
      <c r="BC1022" t="inlineStr">
        <is>
          <t>32285002404837</t>
        </is>
      </c>
      <c r="BD1022" t="inlineStr">
        <is>
          <t>893798398</t>
        </is>
      </c>
    </row>
    <row r="1023">
      <c r="A1023" t="inlineStr">
        <is>
          <t>No</t>
        </is>
      </c>
      <c r="B1023" t="inlineStr">
        <is>
          <t>HV741 .Z82 1983</t>
        </is>
      </c>
      <c r="C1023" t="inlineStr">
        <is>
          <t>0                      HV 0741000Z  82          1983</t>
        </is>
      </c>
      <c r="D1023" t="inlineStr">
        <is>
          <t>Child welfare / Erva Zuckerman.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Zuckerman, Erva.</t>
        </is>
      </c>
      <c r="L1023" t="inlineStr">
        <is>
          <t>New York : Free Press ; London : Collier Macmillan, c1983.</t>
        </is>
      </c>
      <c r="M1023" t="inlineStr">
        <is>
          <t>1983</t>
        </is>
      </c>
      <c r="O1023" t="inlineStr">
        <is>
          <t>eng</t>
        </is>
      </c>
      <c r="P1023" t="inlineStr">
        <is>
          <t>nyu</t>
        </is>
      </c>
      <c r="Q1023" t="inlineStr">
        <is>
          <t>Fields of practice series</t>
        </is>
      </c>
      <c r="R1023" t="inlineStr">
        <is>
          <t xml:space="preserve">HV </t>
        </is>
      </c>
      <c r="S1023" t="n">
        <v>7</v>
      </c>
      <c r="T1023" t="n">
        <v>7</v>
      </c>
      <c r="U1023" t="inlineStr">
        <is>
          <t>1998-09-24</t>
        </is>
      </c>
      <c r="V1023" t="inlineStr">
        <is>
          <t>1998-09-24</t>
        </is>
      </c>
      <c r="W1023" t="inlineStr">
        <is>
          <t>1991-12-09</t>
        </is>
      </c>
      <c r="X1023" t="inlineStr">
        <is>
          <t>1991-12-09</t>
        </is>
      </c>
      <c r="Y1023" t="n">
        <v>403</v>
      </c>
      <c r="Z1023" t="n">
        <v>327</v>
      </c>
      <c r="AA1023" t="n">
        <v>334</v>
      </c>
      <c r="AB1023" t="n">
        <v>5</v>
      </c>
      <c r="AC1023" t="n">
        <v>5</v>
      </c>
      <c r="AD1023" t="n">
        <v>16</v>
      </c>
      <c r="AE1023" t="n">
        <v>16</v>
      </c>
      <c r="AF1023" t="n">
        <v>4</v>
      </c>
      <c r="AG1023" t="n">
        <v>4</v>
      </c>
      <c r="AH1023" t="n">
        <v>5</v>
      </c>
      <c r="AI1023" t="n">
        <v>5</v>
      </c>
      <c r="AJ1023" t="n">
        <v>7</v>
      </c>
      <c r="AK1023" t="n">
        <v>7</v>
      </c>
      <c r="AL1023" t="n">
        <v>4</v>
      </c>
      <c r="AM1023" t="n">
        <v>4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HYPERLINK("http://catalog.hathitrust.org/Record/000308633","HathiTrust Record")</f>
        <v/>
      </c>
      <c r="AS1023">
        <f>HYPERLINK("https://creighton-primo.hosted.exlibrisgroup.com/primo-explore/search?tab=default_tab&amp;search_scope=EVERYTHING&amp;vid=01CRU&amp;lang=en_US&amp;offset=0&amp;query=any,contains,991000070649702656","Catalog Record")</f>
        <v/>
      </c>
      <c r="AT1023">
        <f>HYPERLINK("http://www.worldcat.org/oclc/8784835","WorldCat Record")</f>
        <v/>
      </c>
      <c r="AU1023" t="inlineStr">
        <is>
          <t>43166171:eng</t>
        </is>
      </c>
      <c r="AV1023" t="inlineStr">
        <is>
          <t>8784835</t>
        </is>
      </c>
      <c r="AW1023" t="inlineStr">
        <is>
          <t>991000070649702656</t>
        </is>
      </c>
      <c r="AX1023" t="inlineStr">
        <is>
          <t>991000070649702656</t>
        </is>
      </c>
      <c r="AY1023" t="inlineStr">
        <is>
          <t>2265567130002656</t>
        </is>
      </c>
      <c r="AZ1023" t="inlineStr">
        <is>
          <t>BOOK</t>
        </is>
      </c>
      <c r="BB1023" t="inlineStr">
        <is>
          <t>9780029359006</t>
        </is>
      </c>
      <c r="BC1023" t="inlineStr">
        <is>
          <t>32285000890052</t>
        </is>
      </c>
      <c r="BD1023" t="inlineStr">
        <is>
          <t>893224703</t>
        </is>
      </c>
    </row>
    <row r="1024">
      <c r="A1024" t="inlineStr">
        <is>
          <t>No</t>
        </is>
      </c>
      <c r="B1024" t="inlineStr">
        <is>
          <t>HV7415 .M63</t>
        </is>
      </c>
      <c r="C1024" t="inlineStr">
        <is>
          <t>0                      HV 7415000M  63</t>
        </is>
      </c>
      <c r="D1024" t="inlineStr">
        <is>
          <t>Models in quantitative criminology / edited by James Alan Fox.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L1024" t="inlineStr">
        <is>
          <t>New York : Academic Press, 1981.</t>
        </is>
      </c>
      <c r="M1024" t="inlineStr">
        <is>
          <t>1981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HV </t>
        </is>
      </c>
      <c r="S1024" t="n">
        <v>4</v>
      </c>
      <c r="T1024" t="n">
        <v>4</v>
      </c>
      <c r="U1024" t="inlineStr">
        <is>
          <t>2007-03-27</t>
        </is>
      </c>
      <c r="V1024" t="inlineStr">
        <is>
          <t>2007-03-27</t>
        </is>
      </c>
      <c r="W1024" t="inlineStr">
        <is>
          <t>1992-07-14</t>
        </is>
      </c>
      <c r="X1024" t="inlineStr">
        <is>
          <t>1992-07-14</t>
        </is>
      </c>
      <c r="Y1024" t="n">
        <v>288</v>
      </c>
      <c r="Z1024" t="n">
        <v>217</v>
      </c>
      <c r="AA1024" t="n">
        <v>224</v>
      </c>
      <c r="AB1024" t="n">
        <v>3</v>
      </c>
      <c r="AC1024" t="n">
        <v>3</v>
      </c>
      <c r="AD1024" t="n">
        <v>9</v>
      </c>
      <c r="AE1024" t="n">
        <v>9</v>
      </c>
      <c r="AF1024" t="n">
        <v>1</v>
      </c>
      <c r="AG1024" t="n">
        <v>1</v>
      </c>
      <c r="AH1024" t="n">
        <v>2</v>
      </c>
      <c r="AI1024" t="n">
        <v>2</v>
      </c>
      <c r="AJ1024" t="n">
        <v>4</v>
      </c>
      <c r="AK1024" t="n">
        <v>4</v>
      </c>
      <c r="AL1024" t="n">
        <v>2</v>
      </c>
      <c r="AM1024" t="n">
        <v>2</v>
      </c>
      <c r="AN1024" t="n">
        <v>2</v>
      </c>
      <c r="AO1024" t="n">
        <v>2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HYPERLINK("http://catalog.hathitrust.org/Record/000139079","HathiTrust Record")</f>
        <v/>
      </c>
      <c r="AS1024">
        <f>HYPERLINK("https://creighton-primo.hosted.exlibrisgroup.com/primo-explore/search?tab=default_tab&amp;search_scope=EVERYTHING&amp;vid=01CRU&amp;lang=en_US&amp;offset=0&amp;query=any,contains,991005088869702656","Catalog Record")</f>
        <v/>
      </c>
      <c r="AT1024">
        <f>HYPERLINK("http://www.worldcat.org/oclc/7204801","WorldCat Record")</f>
        <v/>
      </c>
      <c r="AU1024" t="inlineStr">
        <is>
          <t>408976:eng</t>
        </is>
      </c>
      <c r="AV1024" t="inlineStr">
        <is>
          <t>7204801</t>
        </is>
      </c>
      <c r="AW1024" t="inlineStr">
        <is>
          <t>991005088869702656</t>
        </is>
      </c>
      <c r="AX1024" t="inlineStr">
        <is>
          <t>991005088869702656</t>
        </is>
      </c>
      <c r="AY1024" t="inlineStr">
        <is>
          <t>2265082910002656</t>
        </is>
      </c>
      <c r="AZ1024" t="inlineStr">
        <is>
          <t>BOOK</t>
        </is>
      </c>
      <c r="BB1024" t="inlineStr">
        <is>
          <t>9780122639500</t>
        </is>
      </c>
      <c r="BC1024" t="inlineStr">
        <is>
          <t>32285001182244</t>
        </is>
      </c>
      <c r="BD1024" t="inlineStr">
        <is>
          <t>893242183</t>
        </is>
      </c>
    </row>
    <row r="1025">
      <c r="A1025" t="inlineStr">
        <is>
          <t>No</t>
        </is>
      </c>
      <c r="B1025" t="inlineStr">
        <is>
          <t>HV7419 .C65 1996</t>
        </is>
      </c>
      <c r="C1025" t="inlineStr">
        <is>
          <t>0                      HV 7419000C  65          1996</t>
        </is>
      </c>
      <c r="D1025" t="inlineStr">
        <is>
          <t>Comparative and international criminal justice systems : policing, judiciary and corrections / edited by Obi N. Ignatius Ebbe.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L1025" t="inlineStr">
        <is>
          <t>Boston : Butterworth-Heinemann, c1996.</t>
        </is>
      </c>
      <c r="M1025" t="inlineStr">
        <is>
          <t>1996</t>
        </is>
      </c>
      <c r="O1025" t="inlineStr">
        <is>
          <t>eng</t>
        </is>
      </c>
      <c r="P1025" t="inlineStr">
        <is>
          <t>mau</t>
        </is>
      </c>
      <c r="R1025" t="inlineStr">
        <is>
          <t xml:space="preserve">HV </t>
        </is>
      </c>
      <c r="S1025" t="n">
        <v>10</v>
      </c>
      <c r="T1025" t="n">
        <v>10</v>
      </c>
      <c r="U1025" t="inlineStr">
        <is>
          <t>2003-04-01</t>
        </is>
      </c>
      <c r="V1025" t="inlineStr">
        <is>
          <t>2003-04-01</t>
        </is>
      </c>
      <c r="W1025" t="inlineStr">
        <is>
          <t>1996-05-06</t>
        </is>
      </c>
      <c r="X1025" t="inlineStr">
        <is>
          <t>1996-05-06</t>
        </is>
      </c>
      <c r="Y1025" t="n">
        <v>278</v>
      </c>
      <c r="Z1025" t="n">
        <v>217</v>
      </c>
      <c r="AA1025" t="n">
        <v>1341</v>
      </c>
      <c r="AB1025" t="n">
        <v>3</v>
      </c>
      <c r="AC1025" t="n">
        <v>4</v>
      </c>
      <c r="AD1025" t="n">
        <v>17</v>
      </c>
      <c r="AE1025" t="n">
        <v>44</v>
      </c>
      <c r="AF1025" t="n">
        <v>6</v>
      </c>
      <c r="AG1025" t="n">
        <v>21</v>
      </c>
      <c r="AH1025" t="n">
        <v>1</v>
      </c>
      <c r="AI1025" t="n">
        <v>8</v>
      </c>
      <c r="AJ1025" t="n">
        <v>7</v>
      </c>
      <c r="AK1025" t="n">
        <v>17</v>
      </c>
      <c r="AL1025" t="n">
        <v>2</v>
      </c>
      <c r="AM1025" t="n">
        <v>3</v>
      </c>
      <c r="AN1025" t="n">
        <v>6</v>
      </c>
      <c r="AO1025" t="n">
        <v>7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HYPERLINK("http://catalog.hathitrust.org/Record/003059173","HathiTrust Record")</f>
        <v/>
      </c>
      <c r="AS1025">
        <f>HYPERLINK("https://creighton-primo.hosted.exlibrisgroup.com/primo-explore/search?tab=default_tab&amp;search_scope=EVERYTHING&amp;vid=01CRU&amp;lang=en_US&amp;offset=0&amp;query=any,contains,991002573079702656","Catalog Record")</f>
        <v/>
      </c>
      <c r="AT1025">
        <f>HYPERLINK("http://www.worldcat.org/oclc/33440314","WorldCat Record")</f>
        <v/>
      </c>
      <c r="AU1025" t="inlineStr">
        <is>
          <t>864035471:eng</t>
        </is>
      </c>
      <c r="AV1025" t="inlineStr">
        <is>
          <t>33440314</t>
        </is>
      </c>
      <c r="AW1025" t="inlineStr">
        <is>
          <t>991002573079702656</t>
        </is>
      </c>
      <c r="AX1025" t="inlineStr">
        <is>
          <t>991002573079702656</t>
        </is>
      </c>
      <c r="AY1025" t="inlineStr">
        <is>
          <t>2265739560002656</t>
        </is>
      </c>
      <c r="AZ1025" t="inlineStr">
        <is>
          <t>BOOK</t>
        </is>
      </c>
      <c r="BB1025" t="inlineStr">
        <is>
          <t>9780750696883</t>
        </is>
      </c>
      <c r="BC1025" t="inlineStr">
        <is>
          <t>32285002159654</t>
        </is>
      </c>
      <c r="BD1025" t="inlineStr">
        <is>
          <t>893530188</t>
        </is>
      </c>
    </row>
    <row r="1026">
      <c r="A1026" t="inlineStr">
        <is>
          <t>No</t>
        </is>
      </c>
      <c r="B1026" t="inlineStr">
        <is>
          <t>HV7419 .J87 1998</t>
        </is>
      </c>
      <c r="C1026" t="inlineStr">
        <is>
          <t>0                      HV 7419000J  87          1998</t>
        </is>
      </c>
      <c r="D1026" t="inlineStr">
        <is>
          <t>Justice, crime, and ethics / [edited by] Michael C. Braswell, Belinda R. McCarthy, Bernard J. McCarthy.</t>
        </is>
      </c>
      <c r="F1026" t="inlineStr">
        <is>
          <t>No</t>
        </is>
      </c>
      <c r="G1026" t="inlineStr">
        <is>
          <t>1</t>
        </is>
      </c>
      <c r="H1026" t="inlineStr">
        <is>
          <t>Yes</t>
        </is>
      </c>
      <c r="I1026" t="inlineStr">
        <is>
          <t>Yes</t>
        </is>
      </c>
      <c r="J1026" t="inlineStr">
        <is>
          <t>0</t>
        </is>
      </c>
      <c r="L1026" t="inlineStr">
        <is>
          <t>Cincinnati, OH : Anderson Pub. Co., c1998.</t>
        </is>
      </c>
      <c r="M1026" t="inlineStr">
        <is>
          <t>1998</t>
        </is>
      </c>
      <c r="N1026" t="inlineStr">
        <is>
          <t>3rd ed.</t>
        </is>
      </c>
      <c r="O1026" t="inlineStr">
        <is>
          <t>eng</t>
        </is>
      </c>
      <c r="P1026" t="inlineStr">
        <is>
          <t>ohu</t>
        </is>
      </c>
      <c r="R1026" t="inlineStr">
        <is>
          <t xml:space="preserve">HV </t>
        </is>
      </c>
      <c r="S1026" t="n">
        <v>0</v>
      </c>
      <c r="T1026" t="n">
        <v>7</v>
      </c>
      <c r="V1026" t="inlineStr">
        <is>
          <t>2001-04-22</t>
        </is>
      </c>
      <c r="W1026" t="inlineStr">
        <is>
          <t>1999-01-21</t>
        </is>
      </c>
      <c r="X1026" t="inlineStr">
        <is>
          <t>1999-01-21</t>
        </is>
      </c>
      <c r="Y1026" t="n">
        <v>106</v>
      </c>
      <c r="Z1026" t="n">
        <v>96</v>
      </c>
      <c r="AA1026" t="n">
        <v>540</v>
      </c>
      <c r="AB1026" t="n">
        <v>1</v>
      </c>
      <c r="AC1026" t="n">
        <v>9</v>
      </c>
      <c r="AD1026" t="n">
        <v>3</v>
      </c>
      <c r="AE1026" t="n">
        <v>28</v>
      </c>
      <c r="AF1026" t="n">
        <v>2</v>
      </c>
      <c r="AG1026" t="n">
        <v>7</v>
      </c>
      <c r="AH1026" t="n">
        <v>0</v>
      </c>
      <c r="AI1026" t="n">
        <v>2</v>
      </c>
      <c r="AJ1026" t="n">
        <v>1</v>
      </c>
      <c r="AK1026" t="n">
        <v>5</v>
      </c>
      <c r="AL1026" t="n">
        <v>0</v>
      </c>
      <c r="AM1026" t="n">
        <v>7</v>
      </c>
      <c r="AN1026" t="n">
        <v>0</v>
      </c>
      <c r="AO1026" t="n">
        <v>9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HYPERLINK("https://creighton-primo.hosted.exlibrisgroup.com/primo-explore/search?tab=default_tab&amp;search_scope=EVERYTHING&amp;vid=01CRU&amp;lang=en_US&amp;offset=0&amp;query=any,contains,991002923339702656","Catalog Record")</f>
        <v/>
      </c>
      <c r="AT1026">
        <f>HYPERLINK("http://www.worldcat.org/oclc/38853987","WorldCat Record")</f>
        <v/>
      </c>
      <c r="AU1026" t="inlineStr">
        <is>
          <t>349967647:eng</t>
        </is>
      </c>
      <c r="AV1026" t="inlineStr">
        <is>
          <t>38853987</t>
        </is>
      </c>
      <c r="AW1026" t="inlineStr">
        <is>
          <t>991002923339702656</t>
        </is>
      </c>
      <c r="AX1026" t="inlineStr">
        <is>
          <t>991002923339702656</t>
        </is>
      </c>
      <c r="AY1026" t="inlineStr">
        <is>
          <t>2272599710002656</t>
        </is>
      </c>
      <c r="AZ1026" t="inlineStr">
        <is>
          <t>BOOK</t>
        </is>
      </c>
      <c r="BB1026" t="inlineStr">
        <is>
          <t>9780870840739</t>
        </is>
      </c>
      <c r="BC1026" t="inlineStr">
        <is>
          <t>32285003514808</t>
        </is>
      </c>
      <c r="BD1026" t="inlineStr">
        <is>
          <t>893622910</t>
        </is>
      </c>
    </row>
    <row r="1027">
      <c r="A1027" t="inlineStr">
        <is>
          <t>No</t>
        </is>
      </c>
      <c r="B1027" t="inlineStr">
        <is>
          <t>HV7419 .J87 1998</t>
        </is>
      </c>
      <c r="C1027" t="inlineStr">
        <is>
          <t>0                      HV 7419000J  87          1998</t>
        </is>
      </c>
      <c r="D1027" t="inlineStr">
        <is>
          <t>Justice, crime, and ethics / [edited by] Michael C. Braswell, Belinda R. McCarthy, Bernard J. McCarthy.</t>
        </is>
      </c>
      <c r="F1027" t="inlineStr">
        <is>
          <t>No</t>
        </is>
      </c>
      <c r="G1027" t="inlineStr">
        <is>
          <t>1</t>
        </is>
      </c>
      <c r="H1027" t="inlineStr">
        <is>
          <t>Yes</t>
        </is>
      </c>
      <c r="I1027" t="inlineStr">
        <is>
          <t>Yes</t>
        </is>
      </c>
      <c r="J1027" t="inlineStr">
        <is>
          <t>0</t>
        </is>
      </c>
      <c r="L1027" t="inlineStr">
        <is>
          <t>Cincinnati, OH : Anderson Pub. Co., c1998.</t>
        </is>
      </c>
      <c r="M1027" t="inlineStr">
        <is>
          <t>1998</t>
        </is>
      </c>
      <c r="N1027" t="inlineStr">
        <is>
          <t>3rd ed.</t>
        </is>
      </c>
      <c r="O1027" t="inlineStr">
        <is>
          <t>eng</t>
        </is>
      </c>
      <c r="P1027" t="inlineStr">
        <is>
          <t>ohu</t>
        </is>
      </c>
      <c r="R1027" t="inlineStr">
        <is>
          <t xml:space="preserve">HV </t>
        </is>
      </c>
      <c r="S1027" t="n">
        <v>7</v>
      </c>
      <c r="T1027" t="n">
        <v>7</v>
      </c>
      <c r="U1027" t="inlineStr">
        <is>
          <t>2001-04-22</t>
        </is>
      </c>
      <c r="V1027" t="inlineStr">
        <is>
          <t>2001-04-22</t>
        </is>
      </c>
      <c r="W1027" t="inlineStr">
        <is>
          <t>1999-01-21</t>
        </is>
      </c>
      <c r="X1027" t="inlineStr">
        <is>
          <t>1999-01-21</t>
        </is>
      </c>
      <c r="Y1027" t="n">
        <v>106</v>
      </c>
      <c r="Z1027" t="n">
        <v>96</v>
      </c>
      <c r="AA1027" t="n">
        <v>540</v>
      </c>
      <c r="AB1027" t="n">
        <v>1</v>
      </c>
      <c r="AC1027" t="n">
        <v>9</v>
      </c>
      <c r="AD1027" t="n">
        <v>3</v>
      </c>
      <c r="AE1027" t="n">
        <v>28</v>
      </c>
      <c r="AF1027" t="n">
        <v>2</v>
      </c>
      <c r="AG1027" t="n">
        <v>7</v>
      </c>
      <c r="AH1027" t="n">
        <v>0</v>
      </c>
      <c r="AI1027" t="n">
        <v>2</v>
      </c>
      <c r="AJ1027" t="n">
        <v>1</v>
      </c>
      <c r="AK1027" t="n">
        <v>5</v>
      </c>
      <c r="AL1027" t="n">
        <v>0</v>
      </c>
      <c r="AM1027" t="n">
        <v>7</v>
      </c>
      <c r="AN1027" t="n">
        <v>0</v>
      </c>
      <c r="AO1027" t="n">
        <v>9</v>
      </c>
      <c r="AP1027" t="inlineStr">
        <is>
          <t>No</t>
        </is>
      </c>
      <c r="AQ1027" t="inlineStr">
        <is>
          <t>No</t>
        </is>
      </c>
      <c r="AS1027">
        <f>HYPERLINK("https://creighton-primo.hosted.exlibrisgroup.com/primo-explore/search?tab=default_tab&amp;search_scope=EVERYTHING&amp;vid=01CRU&amp;lang=en_US&amp;offset=0&amp;query=any,contains,991002923339702656","Catalog Record")</f>
        <v/>
      </c>
      <c r="AT1027">
        <f>HYPERLINK("http://www.worldcat.org/oclc/38853987","WorldCat Record")</f>
        <v/>
      </c>
      <c r="AU1027" t="inlineStr">
        <is>
          <t>349967647:eng</t>
        </is>
      </c>
      <c r="AV1027" t="inlineStr">
        <is>
          <t>38853987</t>
        </is>
      </c>
      <c r="AW1027" t="inlineStr">
        <is>
          <t>991002923339702656</t>
        </is>
      </c>
      <c r="AX1027" t="inlineStr">
        <is>
          <t>991002923339702656</t>
        </is>
      </c>
      <c r="AY1027" t="inlineStr">
        <is>
          <t>2272599710002656</t>
        </is>
      </c>
      <c r="AZ1027" t="inlineStr">
        <is>
          <t>BOOK</t>
        </is>
      </c>
      <c r="BB1027" t="inlineStr">
        <is>
          <t>9780870840739</t>
        </is>
      </c>
      <c r="BC1027" t="inlineStr">
        <is>
          <t>32285003514790</t>
        </is>
      </c>
      <c r="BD1027" t="inlineStr">
        <is>
          <t>893604221</t>
        </is>
      </c>
    </row>
    <row r="1028">
      <c r="A1028" t="inlineStr">
        <is>
          <t>No</t>
        </is>
      </c>
      <c r="B1028" t="inlineStr">
        <is>
          <t>HV742.C2 G46 1979</t>
        </is>
      </c>
      <c r="C1028" t="inlineStr">
        <is>
          <t>0                      HV 0742000C  2                  G  46          1979</t>
        </is>
      </c>
      <c r="D1028" t="inlineStr">
        <is>
          <t>Defining child abuse / Jeanne M. Giovannoni and Rosina Becerra.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Giovannoni, Jeanne M.</t>
        </is>
      </c>
      <c r="L1028" t="inlineStr">
        <is>
          <t>New York : Free Press, c1979.</t>
        </is>
      </c>
      <c r="M1028" t="inlineStr">
        <is>
          <t>1979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HV </t>
        </is>
      </c>
      <c r="S1028" t="n">
        <v>12</v>
      </c>
      <c r="T1028" t="n">
        <v>12</v>
      </c>
      <c r="U1028" t="inlineStr">
        <is>
          <t>1997-11-22</t>
        </is>
      </c>
      <c r="V1028" t="inlineStr">
        <is>
          <t>1997-11-22</t>
        </is>
      </c>
      <c r="W1028" t="inlineStr">
        <is>
          <t>1991-12-09</t>
        </is>
      </c>
      <c r="X1028" t="inlineStr">
        <is>
          <t>1991-12-09</t>
        </is>
      </c>
      <c r="Y1028" t="n">
        <v>1146</v>
      </c>
      <c r="Z1028" t="n">
        <v>1006</v>
      </c>
      <c r="AA1028" t="n">
        <v>1029</v>
      </c>
      <c r="AB1028" t="n">
        <v>8</v>
      </c>
      <c r="AC1028" t="n">
        <v>8</v>
      </c>
      <c r="AD1028" t="n">
        <v>40</v>
      </c>
      <c r="AE1028" t="n">
        <v>41</v>
      </c>
      <c r="AF1028" t="n">
        <v>16</v>
      </c>
      <c r="AG1028" t="n">
        <v>17</v>
      </c>
      <c r="AH1028" t="n">
        <v>9</v>
      </c>
      <c r="AI1028" t="n">
        <v>9</v>
      </c>
      <c r="AJ1028" t="n">
        <v>16</v>
      </c>
      <c r="AK1028" t="n">
        <v>17</v>
      </c>
      <c r="AL1028" t="n">
        <v>5</v>
      </c>
      <c r="AM1028" t="n">
        <v>5</v>
      </c>
      <c r="AN1028" t="n">
        <v>3</v>
      </c>
      <c r="AO1028" t="n">
        <v>3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HYPERLINK("http://catalog.hathitrust.org/Record/000225890","HathiTrust Record")</f>
        <v/>
      </c>
      <c r="AS1028">
        <f>HYPERLINK("https://creighton-primo.hosted.exlibrisgroup.com/primo-explore/search?tab=default_tab&amp;search_scope=EVERYTHING&amp;vid=01CRU&amp;lang=en_US&amp;offset=0&amp;query=any,contains,991004792889702656","Catalog Record")</f>
        <v/>
      </c>
      <c r="AT1028">
        <f>HYPERLINK("http://www.worldcat.org/oclc/5171856","WorldCat Record")</f>
        <v/>
      </c>
      <c r="AU1028" t="inlineStr">
        <is>
          <t>400520:eng</t>
        </is>
      </c>
      <c r="AV1028" t="inlineStr">
        <is>
          <t>5171856</t>
        </is>
      </c>
      <c r="AW1028" t="inlineStr">
        <is>
          <t>991004792889702656</t>
        </is>
      </c>
      <c r="AX1028" t="inlineStr">
        <is>
          <t>991004792889702656</t>
        </is>
      </c>
      <c r="AY1028" t="inlineStr">
        <is>
          <t>2259021350002656</t>
        </is>
      </c>
      <c r="AZ1028" t="inlineStr">
        <is>
          <t>BOOK</t>
        </is>
      </c>
      <c r="BB1028" t="inlineStr">
        <is>
          <t>9780029117507</t>
        </is>
      </c>
      <c r="BC1028" t="inlineStr">
        <is>
          <t>32285000890060</t>
        </is>
      </c>
      <c r="BD1028" t="inlineStr">
        <is>
          <t>893526531</t>
        </is>
      </c>
    </row>
    <row r="1029">
      <c r="A1029" t="inlineStr">
        <is>
          <t>No</t>
        </is>
      </c>
      <c r="B1029" t="inlineStr">
        <is>
          <t>HV742.M4 K56 1982</t>
        </is>
      </c>
      <c r="C1029" t="inlineStr">
        <is>
          <t>0                      HV 0742000M  4                  K  56          1982</t>
        </is>
      </c>
      <c r="D1029" t="inlineStr">
        <is>
          <t>Emotional development in physically abused children : a study of self concept and aggression / by E. Milling Kinard.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Kinard, E. Milling (Ellenor Milling)</t>
        </is>
      </c>
      <c r="L1029" t="inlineStr">
        <is>
          <t>Palo Alto, Calif. : R &amp; E Research Associates, [1982] c1978.</t>
        </is>
      </c>
      <c r="M1029" t="inlineStr">
        <is>
          <t>1982</t>
        </is>
      </c>
      <c r="O1029" t="inlineStr">
        <is>
          <t>eng</t>
        </is>
      </c>
      <c r="P1029" t="inlineStr">
        <is>
          <t>cau</t>
        </is>
      </c>
      <c r="R1029" t="inlineStr">
        <is>
          <t xml:space="preserve">HV </t>
        </is>
      </c>
      <c r="S1029" t="n">
        <v>10</v>
      </c>
      <c r="T1029" t="n">
        <v>10</v>
      </c>
      <c r="U1029" t="inlineStr">
        <is>
          <t>2004-11-15</t>
        </is>
      </c>
      <c r="V1029" t="inlineStr">
        <is>
          <t>2004-11-15</t>
        </is>
      </c>
      <c r="W1029" t="inlineStr">
        <is>
          <t>1990-04-30</t>
        </is>
      </c>
      <c r="X1029" t="inlineStr">
        <is>
          <t>1990-04-30</t>
        </is>
      </c>
      <c r="Y1029" t="n">
        <v>244</v>
      </c>
      <c r="Z1029" t="n">
        <v>221</v>
      </c>
      <c r="AA1029" t="n">
        <v>235</v>
      </c>
      <c r="AB1029" t="n">
        <v>3</v>
      </c>
      <c r="AC1029" t="n">
        <v>3</v>
      </c>
      <c r="AD1029" t="n">
        <v>5</v>
      </c>
      <c r="AE1029" t="n">
        <v>5</v>
      </c>
      <c r="AF1029" t="n">
        <v>1</v>
      </c>
      <c r="AG1029" t="n">
        <v>1</v>
      </c>
      <c r="AH1029" t="n">
        <v>0</v>
      </c>
      <c r="AI1029" t="n">
        <v>0</v>
      </c>
      <c r="AJ1029" t="n">
        <v>3</v>
      </c>
      <c r="AK1029" t="n">
        <v>3</v>
      </c>
      <c r="AL1029" t="n">
        <v>2</v>
      </c>
      <c r="AM1029" t="n">
        <v>2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No</t>
        </is>
      </c>
      <c r="AS1029">
        <f>HYPERLINK("https://creighton-primo.hosted.exlibrisgroup.com/primo-explore/search?tab=default_tab&amp;search_scope=EVERYTHING&amp;vid=01CRU&amp;lang=en_US&amp;offset=0&amp;query=any,contains,991005234519702656","Catalog Record")</f>
        <v/>
      </c>
      <c r="AT1029">
        <f>HYPERLINK("http://www.worldcat.org/oclc/8355149","WorldCat Record")</f>
        <v/>
      </c>
      <c r="AU1029" t="inlineStr">
        <is>
          <t>134842484:eng</t>
        </is>
      </c>
      <c r="AV1029" t="inlineStr">
        <is>
          <t>8355149</t>
        </is>
      </c>
      <c r="AW1029" t="inlineStr">
        <is>
          <t>991005234519702656</t>
        </is>
      </c>
      <c r="AX1029" t="inlineStr">
        <is>
          <t>991005234519702656</t>
        </is>
      </c>
      <c r="AY1029" t="inlineStr">
        <is>
          <t>2257870270002656</t>
        </is>
      </c>
      <c r="AZ1029" t="inlineStr">
        <is>
          <t>BOOK</t>
        </is>
      </c>
      <c r="BB1029" t="inlineStr">
        <is>
          <t>9780882476216</t>
        </is>
      </c>
      <c r="BC1029" t="inlineStr">
        <is>
          <t>32285000134923</t>
        </is>
      </c>
      <c r="BD1029" t="inlineStr">
        <is>
          <t>893424778</t>
        </is>
      </c>
    </row>
    <row r="1030">
      <c r="A1030" t="inlineStr">
        <is>
          <t>No</t>
        </is>
      </c>
      <c r="B1030" t="inlineStr">
        <is>
          <t>HV7428 .M35 1997</t>
        </is>
      </c>
      <c r="C1030" t="inlineStr">
        <is>
          <t>0                      HV 7428000M  35          1997</t>
        </is>
      </c>
      <c r="D1030" t="inlineStr">
        <is>
          <t>Policy and practice in the justice system / C. Aaron McNeece, Albert R. Roberts.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McNeece, Carl Aaron.</t>
        </is>
      </c>
      <c r="L1030" t="inlineStr">
        <is>
          <t>Chicago : Nelson-Hall Publishers, 1997.</t>
        </is>
      </c>
      <c r="M1030" t="inlineStr">
        <is>
          <t>1997</t>
        </is>
      </c>
      <c r="O1030" t="inlineStr">
        <is>
          <t>eng</t>
        </is>
      </c>
      <c r="P1030" t="inlineStr">
        <is>
          <t>ilu</t>
        </is>
      </c>
      <c r="R1030" t="inlineStr">
        <is>
          <t xml:space="preserve">HV </t>
        </is>
      </c>
      <c r="S1030" t="n">
        <v>9</v>
      </c>
      <c r="T1030" t="n">
        <v>9</v>
      </c>
      <c r="U1030" t="inlineStr">
        <is>
          <t>2010-07-30</t>
        </is>
      </c>
      <c r="V1030" t="inlineStr">
        <is>
          <t>2010-07-30</t>
        </is>
      </c>
      <c r="W1030" t="inlineStr">
        <is>
          <t>1997-03-19</t>
        </is>
      </c>
      <c r="X1030" t="inlineStr">
        <is>
          <t>1997-03-19</t>
        </is>
      </c>
      <c r="Y1030" t="n">
        <v>131</v>
      </c>
      <c r="Z1030" t="n">
        <v>126</v>
      </c>
      <c r="AA1030" t="n">
        <v>134</v>
      </c>
      <c r="AB1030" t="n">
        <v>1</v>
      </c>
      <c r="AC1030" t="n">
        <v>1</v>
      </c>
      <c r="AD1030" t="n">
        <v>5</v>
      </c>
      <c r="AE1030" t="n">
        <v>5</v>
      </c>
      <c r="AF1030" t="n">
        <v>2</v>
      </c>
      <c r="AG1030" t="n">
        <v>2</v>
      </c>
      <c r="AH1030" t="n">
        <v>1</v>
      </c>
      <c r="AI1030" t="n">
        <v>1</v>
      </c>
      <c r="AJ1030" t="n">
        <v>3</v>
      </c>
      <c r="AK1030" t="n">
        <v>3</v>
      </c>
      <c r="AL1030" t="n">
        <v>0</v>
      </c>
      <c r="AM1030" t="n">
        <v>0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Yes</t>
        </is>
      </c>
      <c r="AR1030">
        <f>HYPERLINK("http://catalog.hathitrust.org/Record/004030114","HathiTrust Record")</f>
        <v/>
      </c>
      <c r="AS1030">
        <f>HYPERLINK("https://creighton-primo.hosted.exlibrisgroup.com/primo-explore/search?tab=default_tab&amp;search_scope=EVERYTHING&amp;vid=01CRU&amp;lang=en_US&amp;offset=0&amp;query=any,contains,991002614459702656","Catalog Record")</f>
        <v/>
      </c>
      <c r="AT1030">
        <f>HYPERLINK("http://www.worldcat.org/oclc/34281714","WorldCat Record")</f>
        <v/>
      </c>
      <c r="AU1030" t="inlineStr">
        <is>
          <t>476302020:eng</t>
        </is>
      </c>
      <c r="AV1030" t="inlineStr">
        <is>
          <t>34281714</t>
        </is>
      </c>
      <c r="AW1030" t="inlineStr">
        <is>
          <t>991002614459702656</t>
        </is>
      </c>
      <c r="AX1030" t="inlineStr">
        <is>
          <t>991002614459702656</t>
        </is>
      </c>
      <c r="AY1030" t="inlineStr">
        <is>
          <t>2259015220002656</t>
        </is>
      </c>
      <c r="AZ1030" t="inlineStr">
        <is>
          <t>BOOK</t>
        </is>
      </c>
      <c r="BB1030" t="inlineStr">
        <is>
          <t>9780830414178</t>
        </is>
      </c>
      <c r="BC1030" t="inlineStr">
        <is>
          <t>32285002444395</t>
        </is>
      </c>
      <c r="BD1030" t="inlineStr">
        <is>
          <t>893622489</t>
        </is>
      </c>
    </row>
    <row r="1031">
      <c r="A1031" t="inlineStr">
        <is>
          <t>No</t>
        </is>
      </c>
      <c r="B1031" t="inlineStr">
        <is>
          <t>HV7428 .P7 1982</t>
        </is>
      </c>
      <c r="C1031" t="inlineStr">
        <is>
          <t>0                      HV 7428000P  7           1982</t>
        </is>
      </c>
      <c r="D1031" t="inlineStr">
        <is>
          <t>Practical program evaluation in youth treatment / edited by A. John McSweeny, William J. Fremouw, Robert P. Hawkins ; with a foreword by Lee Sechrest.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L1031" t="inlineStr">
        <is>
          <t>Springfield, Ill. : Thomas, c1982.</t>
        </is>
      </c>
      <c r="M1031" t="inlineStr">
        <is>
          <t>1982</t>
        </is>
      </c>
      <c r="O1031" t="inlineStr">
        <is>
          <t>eng</t>
        </is>
      </c>
      <c r="P1031" t="inlineStr">
        <is>
          <t>ilu</t>
        </is>
      </c>
      <c r="R1031" t="inlineStr">
        <is>
          <t xml:space="preserve">HV </t>
        </is>
      </c>
      <c r="S1031" t="n">
        <v>1</v>
      </c>
      <c r="T1031" t="n">
        <v>1</v>
      </c>
      <c r="U1031" t="inlineStr">
        <is>
          <t>2001-01-30</t>
        </is>
      </c>
      <c r="V1031" t="inlineStr">
        <is>
          <t>2001-01-30</t>
        </is>
      </c>
      <c r="W1031" t="inlineStr">
        <is>
          <t>1992-07-14</t>
        </is>
      </c>
      <c r="X1031" t="inlineStr">
        <is>
          <t>1992-07-14</t>
        </is>
      </c>
      <c r="Y1031" t="n">
        <v>170</v>
      </c>
      <c r="Z1031" t="n">
        <v>148</v>
      </c>
      <c r="AA1031" t="n">
        <v>149</v>
      </c>
      <c r="AB1031" t="n">
        <v>2</v>
      </c>
      <c r="AC1031" t="n">
        <v>2</v>
      </c>
      <c r="AD1031" t="n">
        <v>4</v>
      </c>
      <c r="AE1031" t="n">
        <v>4</v>
      </c>
      <c r="AF1031" t="n">
        <v>1</v>
      </c>
      <c r="AG1031" t="n">
        <v>1</v>
      </c>
      <c r="AH1031" t="n">
        <v>0</v>
      </c>
      <c r="AI1031" t="n">
        <v>0</v>
      </c>
      <c r="AJ1031" t="n">
        <v>1</v>
      </c>
      <c r="AK1031" t="n">
        <v>1</v>
      </c>
      <c r="AL1031" t="n">
        <v>1</v>
      </c>
      <c r="AM1031" t="n">
        <v>1</v>
      </c>
      <c r="AN1031" t="n">
        <v>1</v>
      </c>
      <c r="AO1031" t="n">
        <v>1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HYPERLINK("http://catalog.hathitrust.org/Record/000190328","HathiTrust Record")</f>
        <v/>
      </c>
      <c r="AS1031">
        <f>HYPERLINK("https://creighton-primo.hosted.exlibrisgroup.com/primo-explore/search?tab=default_tab&amp;search_scope=EVERYTHING&amp;vid=01CRU&amp;lang=en_US&amp;offset=0&amp;query=any,contains,991000071849702656","Catalog Record")</f>
        <v/>
      </c>
      <c r="AT1031">
        <f>HYPERLINK("http://www.worldcat.org/oclc/8785583","WorldCat Record")</f>
        <v/>
      </c>
      <c r="AU1031" t="inlineStr">
        <is>
          <t>360343047:eng</t>
        </is>
      </c>
      <c r="AV1031" t="inlineStr">
        <is>
          <t>8785583</t>
        </is>
      </c>
      <c r="AW1031" t="inlineStr">
        <is>
          <t>991000071849702656</t>
        </is>
      </c>
      <c r="AX1031" t="inlineStr">
        <is>
          <t>991000071849702656</t>
        </is>
      </c>
      <c r="AY1031" t="inlineStr">
        <is>
          <t>2266951200002656</t>
        </is>
      </c>
      <c r="AZ1031" t="inlineStr">
        <is>
          <t>BOOK</t>
        </is>
      </c>
      <c r="BB1031" t="inlineStr">
        <is>
          <t>9780398045890</t>
        </is>
      </c>
      <c r="BC1031" t="inlineStr">
        <is>
          <t>32285001182269</t>
        </is>
      </c>
      <c r="BD1031" t="inlineStr">
        <is>
          <t>893249057</t>
        </is>
      </c>
    </row>
    <row r="1032">
      <c r="A1032" t="inlineStr">
        <is>
          <t>No</t>
        </is>
      </c>
      <c r="B1032" t="inlineStr">
        <is>
          <t>HV7431 .F37 1986</t>
        </is>
      </c>
      <c r="C1032" t="inlineStr">
        <is>
          <t>0                      HV 7431000F  37          1986</t>
        </is>
      </c>
      <c r="D1032" t="inlineStr">
        <is>
          <t>Understanding and controlling crime : toward a new research strategy / David P. Farrington, Lloyd E. Ohlin, James Q. Wilson.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Farrington, David P.</t>
        </is>
      </c>
      <c r="L1032" t="inlineStr">
        <is>
          <t>New York : Springer-Verlag, c1986.</t>
        </is>
      </c>
      <c r="M1032" t="inlineStr">
        <is>
          <t>1986</t>
        </is>
      </c>
      <c r="O1032" t="inlineStr">
        <is>
          <t>eng</t>
        </is>
      </c>
      <c r="P1032" t="inlineStr">
        <is>
          <t>nyu</t>
        </is>
      </c>
      <c r="Q1032" t="inlineStr">
        <is>
          <t>Research in criminology</t>
        </is>
      </c>
      <c r="R1032" t="inlineStr">
        <is>
          <t xml:space="preserve">HV </t>
        </is>
      </c>
      <c r="S1032" t="n">
        <v>9</v>
      </c>
      <c r="T1032" t="n">
        <v>9</v>
      </c>
      <c r="U1032" t="inlineStr">
        <is>
          <t>1996-09-12</t>
        </is>
      </c>
      <c r="V1032" t="inlineStr">
        <is>
          <t>1996-09-12</t>
        </is>
      </c>
      <c r="W1032" t="inlineStr">
        <is>
          <t>1990-04-09</t>
        </is>
      </c>
      <c r="X1032" t="inlineStr">
        <is>
          <t>1990-04-09</t>
        </is>
      </c>
      <c r="Y1032" t="n">
        <v>547</v>
      </c>
      <c r="Z1032" t="n">
        <v>437</v>
      </c>
      <c r="AA1032" t="n">
        <v>461</v>
      </c>
      <c r="AB1032" t="n">
        <v>4</v>
      </c>
      <c r="AC1032" t="n">
        <v>4</v>
      </c>
      <c r="AD1032" t="n">
        <v>24</v>
      </c>
      <c r="AE1032" t="n">
        <v>26</v>
      </c>
      <c r="AF1032" t="n">
        <v>6</v>
      </c>
      <c r="AG1032" t="n">
        <v>8</v>
      </c>
      <c r="AH1032" t="n">
        <v>7</v>
      </c>
      <c r="AI1032" t="n">
        <v>7</v>
      </c>
      <c r="AJ1032" t="n">
        <v>11</v>
      </c>
      <c r="AK1032" t="n">
        <v>12</v>
      </c>
      <c r="AL1032" t="n">
        <v>3</v>
      </c>
      <c r="AM1032" t="n">
        <v>3</v>
      </c>
      <c r="AN1032" t="n">
        <v>3</v>
      </c>
      <c r="AO1032" t="n">
        <v>3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HYPERLINK("http://catalog.hathitrust.org/Record/000674058","HathiTrust Record")</f>
        <v/>
      </c>
      <c r="AS1032">
        <f>HYPERLINK("https://creighton-primo.hosted.exlibrisgroup.com/primo-explore/search?tab=default_tab&amp;search_scope=EVERYTHING&amp;vid=01CRU&amp;lang=en_US&amp;offset=0&amp;query=any,contains,991000845329702656","Catalog Record")</f>
        <v/>
      </c>
      <c r="AT1032">
        <f>HYPERLINK("http://www.worldcat.org/oclc/13559762","WorldCat Record")</f>
        <v/>
      </c>
      <c r="AU1032" t="inlineStr">
        <is>
          <t>796612695:eng</t>
        </is>
      </c>
      <c r="AV1032" t="inlineStr">
        <is>
          <t>13559762</t>
        </is>
      </c>
      <c r="AW1032" t="inlineStr">
        <is>
          <t>991000845329702656</t>
        </is>
      </c>
      <c r="AX1032" t="inlineStr">
        <is>
          <t>991000845329702656</t>
        </is>
      </c>
      <c r="AY1032" t="inlineStr">
        <is>
          <t>2270990100002656</t>
        </is>
      </c>
      <c r="AZ1032" t="inlineStr">
        <is>
          <t>BOOK</t>
        </is>
      </c>
      <c r="BB1032" t="inlineStr">
        <is>
          <t>9780387962986</t>
        </is>
      </c>
      <c r="BC1032" t="inlineStr">
        <is>
          <t>32285000112838</t>
        </is>
      </c>
      <c r="BD1032" t="inlineStr">
        <is>
          <t>893243644</t>
        </is>
      </c>
    </row>
    <row r="1033">
      <c r="A1033" t="inlineStr">
        <is>
          <t>No</t>
        </is>
      </c>
      <c r="B1033" t="inlineStr">
        <is>
          <t>HV7431 .M56 1999</t>
        </is>
      </c>
      <c r="C1033" t="inlineStr">
        <is>
          <t>0                      HV 7431000M  56          1999</t>
        </is>
      </c>
      <c r="D1033" t="inlineStr">
        <is>
          <t>Minimizing harm : a new crime policy for modern America / edited by Edward L. Rubin.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L1033" t="inlineStr">
        <is>
          <t>Boulder, Colo. : Westview Press, 1999.</t>
        </is>
      </c>
      <c r="M1033" t="inlineStr">
        <is>
          <t>1999</t>
        </is>
      </c>
      <c r="O1033" t="inlineStr">
        <is>
          <t>eng</t>
        </is>
      </c>
      <c r="P1033" t="inlineStr">
        <is>
          <t>cou</t>
        </is>
      </c>
      <c r="R1033" t="inlineStr">
        <is>
          <t xml:space="preserve">HV </t>
        </is>
      </c>
      <c r="S1033" t="n">
        <v>4</v>
      </c>
      <c r="T1033" t="n">
        <v>4</v>
      </c>
      <c r="U1033" t="inlineStr">
        <is>
          <t>2009-11-01</t>
        </is>
      </c>
      <c r="V1033" t="inlineStr">
        <is>
          <t>2009-11-01</t>
        </is>
      </c>
      <c r="W1033" t="inlineStr">
        <is>
          <t>2000-10-30</t>
        </is>
      </c>
      <c r="X1033" t="inlineStr">
        <is>
          <t>2000-10-30</t>
        </is>
      </c>
      <c r="Y1033" t="n">
        <v>292</v>
      </c>
      <c r="Z1033" t="n">
        <v>260</v>
      </c>
      <c r="AA1033" t="n">
        <v>288</v>
      </c>
      <c r="AB1033" t="n">
        <v>3</v>
      </c>
      <c r="AC1033" t="n">
        <v>3</v>
      </c>
      <c r="AD1033" t="n">
        <v>14</v>
      </c>
      <c r="AE1033" t="n">
        <v>14</v>
      </c>
      <c r="AF1033" t="n">
        <v>6</v>
      </c>
      <c r="AG1033" t="n">
        <v>6</v>
      </c>
      <c r="AH1033" t="n">
        <v>2</v>
      </c>
      <c r="AI1033" t="n">
        <v>2</v>
      </c>
      <c r="AJ1033" t="n">
        <v>10</v>
      </c>
      <c r="AK1033" t="n">
        <v>10</v>
      </c>
      <c r="AL1033" t="n">
        <v>2</v>
      </c>
      <c r="AM1033" t="n">
        <v>2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HYPERLINK("http://catalog.hathitrust.org/Record/004007932","HathiTrust Record")</f>
        <v/>
      </c>
      <c r="AS1033">
        <f>HYPERLINK("https://creighton-primo.hosted.exlibrisgroup.com/primo-explore/search?tab=default_tab&amp;search_scope=EVERYTHING&amp;vid=01CRU&amp;lang=en_US&amp;offset=0&amp;query=any,contains,991003264349702656","Catalog Record")</f>
        <v/>
      </c>
      <c r="AT1033">
        <f>HYPERLINK("http://www.worldcat.org/oclc/39465187","WorldCat Record")</f>
        <v/>
      </c>
      <c r="AU1033" t="inlineStr">
        <is>
          <t>802577173:eng</t>
        </is>
      </c>
      <c r="AV1033" t="inlineStr">
        <is>
          <t>39465187</t>
        </is>
      </c>
      <c r="AW1033" t="inlineStr">
        <is>
          <t>991003264349702656</t>
        </is>
      </c>
      <c r="AX1033" t="inlineStr">
        <is>
          <t>991003264349702656</t>
        </is>
      </c>
      <c r="AY1033" t="inlineStr">
        <is>
          <t>2267425810002656</t>
        </is>
      </c>
      <c r="AZ1033" t="inlineStr">
        <is>
          <t>BOOK</t>
        </is>
      </c>
      <c r="BB1033" t="inlineStr">
        <is>
          <t>9780813335360</t>
        </is>
      </c>
      <c r="BC1033" t="inlineStr">
        <is>
          <t>32285004261623</t>
        </is>
      </c>
      <c r="BD1033" t="inlineStr">
        <is>
          <t>893240034</t>
        </is>
      </c>
    </row>
    <row r="1034">
      <c r="A1034" t="inlineStr">
        <is>
          <t>No</t>
        </is>
      </c>
      <c r="B1034" t="inlineStr">
        <is>
          <t>HV7431 .N44 1990</t>
        </is>
      </c>
      <c r="C1034" t="inlineStr">
        <is>
          <t>0                      HV 7431000N  44          1990</t>
        </is>
      </c>
      <c r="D1034" t="inlineStr">
        <is>
          <t>Take back your neighborhood : a case for modern-day "vigilantism" / Richard Neely.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Neely, Richard, 1941-</t>
        </is>
      </c>
      <c r="L1034" t="inlineStr">
        <is>
          <t>New York, N.Y. : D.I. Fine, c1990.</t>
        </is>
      </c>
      <c r="M1034" t="inlineStr">
        <is>
          <t>1990</t>
        </is>
      </c>
      <c r="O1034" t="inlineStr">
        <is>
          <t>eng</t>
        </is>
      </c>
      <c r="P1034" t="inlineStr">
        <is>
          <t>nyu</t>
        </is>
      </c>
      <c r="R1034" t="inlineStr">
        <is>
          <t xml:space="preserve">HV </t>
        </is>
      </c>
      <c r="S1034" t="n">
        <v>2</v>
      </c>
      <c r="T1034" t="n">
        <v>2</v>
      </c>
      <c r="U1034" t="inlineStr">
        <is>
          <t>2000-11-17</t>
        </is>
      </c>
      <c r="V1034" t="inlineStr">
        <is>
          <t>2000-11-17</t>
        </is>
      </c>
      <c r="W1034" t="inlineStr">
        <is>
          <t>1990-12-28</t>
        </is>
      </c>
      <c r="X1034" t="inlineStr">
        <is>
          <t>1990-12-28</t>
        </is>
      </c>
      <c r="Y1034" t="n">
        <v>433</v>
      </c>
      <c r="Z1034" t="n">
        <v>412</v>
      </c>
      <c r="AA1034" t="n">
        <v>417</v>
      </c>
      <c r="AB1034" t="n">
        <v>5</v>
      </c>
      <c r="AC1034" t="n">
        <v>5</v>
      </c>
      <c r="AD1034" t="n">
        <v>9</v>
      </c>
      <c r="AE1034" t="n">
        <v>9</v>
      </c>
      <c r="AF1034" t="n">
        <v>0</v>
      </c>
      <c r="AG1034" t="n">
        <v>0</v>
      </c>
      <c r="AH1034" t="n">
        <v>4</v>
      </c>
      <c r="AI1034" t="n">
        <v>4</v>
      </c>
      <c r="AJ1034" t="n">
        <v>4</v>
      </c>
      <c r="AK1034" t="n">
        <v>4</v>
      </c>
      <c r="AL1034" t="n">
        <v>2</v>
      </c>
      <c r="AM1034" t="n">
        <v>2</v>
      </c>
      <c r="AN1034" t="n">
        <v>1</v>
      </c>
      <c r="AO1034" t="n">
        <v>1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HYPERLINK("https://creighton-primo.hosted.exlibrisgroup.com/primo-explore/search?tab=default_tab&amp;search_scope=EVERYTHING&amp;vid=01CRU&amp;lang=en_US&amp;offset=0&amp;query=any,contains,991001739239702656","Catalog Record")</f>
        <v/>
      </c>
      <c r="AT1034">
        <f>HYPERLINK("http://www.worldcat.org/oclc/21976511","WorldCat Record")</f>
        <v/>
      </c>
      <c r="AU1034" t="inlineStr">
        <is>
          <t>197236903:eng</t>
        </is>
      </c>
      <c r="AV1034" t="inlineStr">
        <is>
          <t>21976511</t>
        </is>
      </c>
      <c r="AW1034" t="inlineStr">
        <is>
          <t>991001739239702656</t>
        </is>
      </c>
      <c r="AX1034" t="inlineStr">
        <is>
          <t>991001739239702656</t>
        </is>
      </c>
      <c r="AY1034" t="inlineStr">
        <is>
          <t>2270105460002656</t>
        </is>
      </c>
      <c r="AZ1034" t="inlineStr">
        <is>
          <t>BOOK</t>
        </is>
      </c>
      <c r="BB1034" t="inlineStr">
        <is>
          <t>9781556111822</t>
        </is>
      </c>
      <c r="BC1034" t="inlineStr">
        <is>
          <t>32285000406149</t>
        </is>
      </c>
      <c r="BD1034" t="inlineStr">
        <is>
          <t>893256460</t>
        </is>
      </c>
    </row>
    <row r="1035">
      <c r="A1035" t="inlineStr">
        <is>
          <t>No</t>
        </is>
      </c>
      <c r="B1035" t="inlineStr">
        <is>
          <t>HV7431 .P45 1980</t>
        </is>
      </c>
      <c r="C1035" t="inlineStr">
        <is>
          <t>0                      HV 7431000P  45          1980</t>
        </is>
      </c>
      <c r="D1035" t="inlineStr">
        <is>
          <t>Crime control strategies : an introduction to the study of crime / Harold E. Pepinsky.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Pepinsky, Harold E.</t>
        </is>
      </c>
      <c r="L1035" t="inlineStr">
        <is>
          <t>New York : Oxford University Press, 1980.</t>
        </is>
      </c>
      <c r="M1035" t="inlineStr">
        <is>
          <t>1980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HV </t>
        </is>
      </c>
      <c r="S1035" t="n">
        <v>8</v>
      </c>
      <c r="T1035" t="n">
        <v>8</v>
      </c>
      <c r="U1035" t="inlineStr">
        <is>
          <t>2002-11-06</t>
        </is>
      </c>
      <c r="V1035" t="inlineStr">
        <is>
          <t>2002-11-06</t>
        </is>
      </c>
      <c r="W1035" t="inlineStr">
        <is>
          <t>1993-07-23</t>
        </is>
      </c>
      <c r="X1035" t="inlineStr">
        <is>
          <t>1993-07-23</t>
        </is>
      </c>
      <c r="Y1035" t="n">
        <v>382</v>
      </c>
      <c r="Z1035" t="n">
        <v>281</v>
      </c>
      <c r="AA1035" t="n">
        <v>281</v>
      </c>
      <c r="AB1035" t="n">
        <v>3</v>
      </c>
      <c r="AC1035" t="n">
        <v>3</v>
      </c>
      <c r="AD1035" t="n">
        <v>11</v>
      </c>
      <c r="AE1035" t="n">
        <v>11</v>
      </c>
      <c r="AF1035" t="n">
        <v>3</v>
      </c>
      <c r="AG1035" t="n">
        <v>3</v>
      </c>
      <c r="AH1035" t="n">
        <v>2</v>
      </c>
      <c r="AI1035" t="n">
        <v>2</v>
      </c>
      <c r="AJ1035" t="n">
        <v>1</v>
      </c>
      <c r="AK1035" t="n">
        <v>1</v>
      </c>
      <c r="AL1035" t="n">
        <v>2</v>
      </c>
      <c r="AM1035" t="n">
        <v>2</v>
      </c>
      <c r="AN1035" t="n">
        <v>4</v>
      </c>
      <c r="AO1035" t="n">
        <v>4</v>
      </c>
      <c r="AP1035" t="inlineStr">
        <is>
          <t>No</t>
        </is>
      </c>
      <c r="AQ1035" t="inlineStr">
        <is>
          <t>No</t>
        </is>
      </c>
      <c r="AS1035">
        <f>HYPERLINK("https://creighton-primo.hosted.exlibrisgroup.com/primo-explore/search?tab=default_tab&amp;search_scope=EVERYTHING&amp;vid=01CRU&amp;lang=en_US&amp;offset=0&amp;query=any,contains,991004765769702656","Catalog Record")</f>
        <v/>
      </c>
      <c r="AT1035">
        <f>HYPERLINK("http://www.worldcat.org/oclc/5029149","WorldCat Record")</f>
        <v/>
      </c>
      <c r="AU1035" t="inlineStr">
        <is>
          <t>858228824:eng</t>
        </is>
      </c>
      <c r="AV1035" t="inlineStr">
        <is>
          <t>5029149</t>
        </is>
      </c>
      <c r="AW1035" t="inlineStr">
        <is>
          <t>991004765769702656</t>
        </is>
      </c>
      <c r="AX1035" t="inlineStr">
        <is>
          <t>991004765769702656</t>
        </is>
      </c>
      <c r="AY1035" t="inlineStr">
        <is>
          <t>2271719410002656</t>
        </is>
      </c>
      <c r="AZ1035" t="inlineStr">
        <is>
          <t>BOOK</t>
        </is>
      </c>
      <c r="BB1035" t="inlineStr">
        <is>
          <t>9780195026078</t>
        </is>
      </c>
      <c r="BC1035" t="inlineStr">
        <is>
          <t>32285001745032</t>
        </is>
      </c>
      <c r="BD1035" t="inlineStr">
        <is>
          <t>893895461</t>
        </is>
      </c>
    </row>
    <row r="1036">
      <c r="A1036" t="inlineStr">
        <is>
          <t>No</t>
        </is>
      </c>
      <c r="B1036" t="inlineStr">
        <is>
          <t>HV7431 .P72</t>
        </is>
      </c>
      <c r="C1036" t="inlineStr">
        <is>
          <t>0                      HV 7431000P  72</t>
        </is>
      </c>
      <c r="D1036" t="inlineStr">
        <is>
          <t>Preventing crime / James A. Cramer, editor.</t>
        </is>
      </c>
      <c r="F1036" t="inlineStr">
        <is>
          <t>No</t>
        </is>
      </c>
      <c r="G1036" t="inlineStr">
        <is>
          <t>1</t>
        </is>
      </c>
      <c r="H1036" t="inlineStr">
        <is>
          <t>Yes</t>
        </is>
      </c>
      <c r="I1036" t="inlineStr">
        <is>
          <t>No</t>
        </is>
      </c>
      <c r="J1036" t="inlineStr">
        <is>
          <t>0</t>
        </is>
      </c>
      <c r="L1036" t="inlineStr">
        <is>
          <t>Beverly Hills : Sage Publications, c1978.</t>
        </is>
      </c>
      <c r="M1036" t="inlineStr">
        <is>
          <t>1978</t>
        </is>
      </c>
      <c r="O1036" t="inlineStr">
        <is>
          <t>eng</t>
        </is>
      </c>
      <c r="P1036" t="inlineStr">
        <is>
          <t>cau</t>
        </is>
      </c>
      <c r="Q1036" t="inlineStr">
        <is>
          <t>Sage criminal justice system annuals ; v. 10</t>
        </is>
      </c>
      <c r="R1036" t="inlineStr">
        <is>
          <t xml:space="preserve">HV </t>
        </is>
      </c>
      <c r="S1036" t="n">
        <v>6</v>
      </c>
      <c r="T1036" t="n">
        <v>8</v>
      </c>
      <c r="U1036" t="inlineStr">
        <is>
          <t>2001-04-22</t>
        </is>
      </c>
      <c r="V1036" t="inlineStr">
        <is>
          <t>2001-10-31</t>
        </is>
      </c>
      <c r="W1036" t="inlineStr">
        <is>
          <t>1990-03-12</t>
        </is>
      </c>
      <c r="X1036" t="inlineStr">
        <is>
          <t>1991-08-16</t>
        </is>
      </c>
      <c r="Y1036" t="n">
        <v>481</v>
      </c>
      <c r="Z1036" t="n">
        <v>383</v>
      </c>
      <c r="AA1036" t="n">
        <v>385</v>
      </c>
      <c r="AB1036" t="n">
        <v>3</v>
      </c>
      <c r="AC1036" t="n">
        <v>3</v>
      </c>
      <c r="AD1036" t="n">
        <v>18</v>
      </c>
      <c r="AE1036" t="n">
        <v>18</v>
      </c>
      <c r="AF1036" t="n">
        <v>3</v>
      </c>
      <c r="AG1036" t="n">
        <v>3</v>
      </c>
      <c r="AH1036" t="n">
        <v>1</v>
      </c>
      <c r="AI1036" t="n">
        <v>1</v>
      </c>
      <c r="AJ1036" t="n">
        <v>7</v>
      </c>
      <c r="AK1036" t="n">
        <v>7</v>
      </c>
      <c r="AL1036" t="n">
        <v>1</v>
      </c>
      <c r="AM1036" t="n">
        <v>1</v>
      </c>
      <c r="AN1036" t="n">
        <v>8</v>
      </c>
      <c r="AO1036" t="n">
        <v>8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HYPERLINK("http://catalog.hathitrust.org/Record/000136471","HathiTrust Record")</f>
        <v/>
      </c>
      <c r="AS1036">
        <f>HYPERLINK("https://creighton-primo.hosted.exlibrisgroup.com/primo-explore/search?tab=default_tab&amp;search_scope=EVERYTHING&amp;vid=01CRU&amp;lang=en_US&amp;offset=0&amp;query=any,contains,991001788239702656","Catalog Record")</f>
        <v/>
      </c>
      <c r="AT1036">
        <f>HYPERLINK("http://www.worldcat.org/oclc/3869115","WorldCat Record")</f>
        <v/>
      </c>
      <c r="AU1036" t="inlineStr">
        <is>
          <t>456969:eng</t>
        </is>
      </c>
      <c r="AV1036" t="inlineStr">
        <is>
          <t>3869115</t>
        </is>
      </c>
      <c r="AW1036" t="inlineStr">
        <is>
          <t>991001788239702656</t>
        </is>
      </c>
      <c r="AX1036" t="inlineStr">
        <is>
          <t>991001788239702656</t>
        </is>
      </c>
      <c r="AY1036" t="inlineStr">
        <is>
          <t>2262983560002656</t>
        </is>
      </c>
      <c r="AZ1036" t="inlineStr">
        <is>
          <t>BOOK</t>
        </is>
      </c>
      <c r="BB1036" t="inlineStr">
        <is>
          <t>9780803910478</t>
        </is>
      </c>
      <c r="BC1036" t="inlineStr">
        <is>
          <t>32285000065697</t>
        </is>
      </c>
      <c r="BD1036" t="inlineStr">
        <is>
          <t>893232267</t>
        </is>
      </c>
    </row>
    <row r="1037">
      <c r="A1037" t="inlineStr">
        <is>
          <t>No</t>
        </is>
      </c>
      <c r="B1037" t="inlineStr">
        <is>
          <t>HV7431 .S8 1975</t>
        </is>
      </c>
      <c r="C1037" t="inlineStr">
        <is>
          <t>0                      HV 7431000S  8           1975</t>
        </is>
      </c>
      <c r="D1037" t="inlineStr">
        <is>
          <t>Personal safety and defense for women / by F. Patricia Pechanec Stock ; ill. by Helen Folsom Hubbard.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Stock, F. Patricia Pechanec.</t>
        </is>
      </c>
      <c r="L1037" t="inlineStr">
        <is>
          <t>Minneapolis : Burgess Pub. Co., [1975]</t>
        </is>
      </c>
      <c r="M1037" t="inlineStr">
        <is>
          <t>1975</t>
        </is>
      </c>
      <c r="N1037" t="inlineStr">
        <is>
          <t>2d ed.</t>
        </is>
      </c>
      <c r="O1037" t="inlineStr">
        <is>
          <t>eng</t>
        </is>
      </c>
      <c r="P1037" t="inlineStr">
        <is>
          <t>mnu</t>
        </is>
      </c>
      <c r="R1037" t="inlineStr">
        <is>
          <t xml:space="preserve">HV </t>
        </is>
      </c>
      <c r="S1037" t="n">
        <v>13</v>
      </c>
      <c r="T1037" t="n">
        <v>13</v>
      </c>
      <c r="U1037" t="inlineStr">
        <is>
          <t>2001-05-09</t>
        </is>
      </c>
      <c r="V1037" t="inlineStr">
        <is>
          <t>2001-05-09</t>
        </is>
      </c>
      <c r="W1037" t="inlineStr">
        <is>
          <t>1990-02-27</t>
        </is>
      </c>
      <c r="X1037" t="inlineStr">
        <is>
          <t>1990-02-27</t>
        </is>
      </c>
      <c r="Y1037" t="n">
        <v>213</v>
      </c>
      <c r="Z1037" t="n">
        <v>200</v>
      </c>
      <c r="AA1037" t="n">
        <v>387</v>
      </c>
      <c r="AB1037" t="n">
        <v>3</v>
      </c>
      <c r="AC1037" t="n">
        <v>7</v>
      </c>
      <c r="AD1037" t="n">
        <v>5</v>
      </c>
      <c r="AE1037" t="n">
        <v>13</v>
      </c>
      <c r="AF1037" t="n">
        <v>3</v>
      </c>
      <c r="AG1037" t="n">
        <v>6</v>
      </c>
      <c r="AH1037" t="n">
        <v>0</v>
      </c>
      <c r="AI1037" t="n">
        <v>0</v>
      </c>
      <c r="AJ1037" t="n">
        <v>0</v>
      </c>
      <c r="AK1037" t="n">
        <v>2</v>
      </c>
      <c r="AL1037" t="n">
        <v>2</v>
      </c>
      <c r="AM1037" t="n">
        <v>6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No</t>
        </is>
      </c>
      <c r="AS1037">
        <f>HYPERLINK("https://creighton-primo.hosted.exlibrisgroup.com/primo-explore/search?tab=default_tab&amp;search_scope=EVERYTHING&amp;vid=01CRU&amp;lang=en_US&amp;offset=0&amp;query=any,contains,991003750969702656","Catalog Record")</f>
        <v/>
      </c>
      <c r="AT1037">
        <f>HYPERLINK("http://www.worldcat.org/oclc/1427011","WorldCat Record")</f>
        <v/>
      </c>
      <c r="AU1037" t="inlineStr">
        <is>
          <t>1356464:eng</t>
        </is>
      </c>
      <c r="AV1037" t="inlineStr">
        <is>
          <t>1427011</t>
        </is>
      </c>
      <c r="AW1037" t="inlineStr">
        <is>
          <t>991003750969702656</t>
        </is>
      </c>
      <c r="AX1037" t="inlineStr">
        <is>
          <t>991003750969702656</t>
        </is>
      </c>
      <c r="AY1037" t="inlineStr">
        <is>
          <t>2262631510002656</t>
        </is>
      </c>
      <c r="AZ1037" t="inlineStr">
        <is>
          <t>BOOK</t>
        </is>
      </c>
      <c r="BB1037" t="inlineStr">
        <is>
          <t>9780808719953</t>
        </is>
      </c>
      <c r="BC1037" t="inlineStr">
        <is>
          <t>32285000071208</t>
        </is>
      </c>
      <c r="BD1037" t="inlineStr">
        <is>
          <t>893258804</t>
        </is>
      </c>
    </row>
    <row r="1038">
      <c r="A1038" t="inlineStr">
        <is>
          <t>No</t>
        </is>
      </c>
      <c r="B1038" t="inlineStr">
        <is>
          <t>HV7435 .K66 1992</t>
        </is>
      </c>
      <c r="C1038" t="inlineStr">
        <is>
          <t>0                      HV 7435000K  66          1992</t>
        </is>
      </c>
      <c r="D1038" t="inlineStr">
        <is>
          <t>The samurai, the mountie, and the cowboy : should America adopt the gun controls of other democracies? / David B. Kopel.</t>
        </is>
      </c>
      <c r="F1038" t="inlineStr">
        <is>
          <t>No</t>
        </is>
      </c>
      <c r="G1038" t="inlineStr">
        <is>
          <t>1</t>
        </is>
      </c>
      <c r="H1038" t="inlineStr">
        <is>
          <t>Yes</t>
        </is>
      </c>
      <c r="I1038" t="inlineStr">
        <is>
          <t>No</t>
        </is>
      </c>
      <c r="J1038" t="inlineStr">
        <is>
          <t>0</t>
        </is>
      </c>
      <c r="K1038" t="inlineStr">
        <is>
          <t>Kopel, David B.</t>
        </is>
      </c>
      <c r="L1038" t="inlineStr">
        <is>
          <t>Buffalo, N.Y. : Prometheus Books, 1992.</t>
        </is>
      </c>
      <c r="M1038" t="inlineStr">
        <is>
          <t>1992</t>
        </is>
      </c>
      <c r="O1038" t="inlineStr">
        <is>
          <t>eng</t>
        </is>
      </c>
      <c r="P1038" t="inlineStr">
        <is>
          <t>nyu</t>
        </is>
      </c>
      <c r="R1038" t="inlineStr">
        <is>
          <t xml:space="preserve">HV </t>
        </is>
      </c>
      <c r="S1038" t="n">
        <v>24</v>
      </c>
      <c r="T1038" t="n">
        <v>26</v>
      </c>
      <c r="U1038" t="inlineStr">
        <is>
          <t>2007-12-04</t>
        </is>
      </c>
      <c r="V1038" t="inlineStr">
        <is>
          <t>2007-12-04</t>
        </is>
      </c>
      <c r="W1038" t="inlineStr">
        <is>
          <t>1992-10-27</t>
        </is>
      </c>
      <c r="X1038" t="inlineStr">
        <is>
          <t>1994-06-23</t>
        </is>
      </c>
      <c r="Y1038" t="n">
        <v>692</v>
      </c>
      <c r="Z1038" t="n">
        <v>631</v>
      </c>
      <c r="AA1038" t="n">
        <v>645</v>
      </c>
      <c r="AB1038" t="n">
        <v>4</v>
      </c>
      <c r="AC1038" t="n">
        <v>4</v>
      </c>
      <c r="AD1038" t="n">
        <v>24</v>
      </c>
      <c r="AE1038" t="n">
        <v>25</v>
      </c>
      <c r="AF1038" t="n">
        <v>10</v>
      </c>
      <c r="AG1038" t="n">
        <v>10</v>
      </c>
      <c r="AH1038" t="n">
        <v>5</v>
      </c>
      <c r="AI1038" t="n">
        <v>6</v>
      </c>
      <c r="AJ1038" t="n">
        <v>9</v>
      </c>
      <c r="AK1038" t="n">
        <v>9</v>
      </c>
      <c r="AL1038" t="n">
        <v>2</v>
      </c>
      <c r="AM1038" t="n">
        <v>2</v>
      </c>
      <c r="AN1038" t="n">
        <v>5</v>
      </c>
      <c r="AO1038" t="n">
        <v>5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HYPERLINK("http://catalog.hathitrust.org/Record/002565315","HathiTrust Record")</f>
        <v/>
      </c>
      <c r="AS1038">
        <f>HYPERLINK("https://creighton-primo.hosted.exlibrisgroup.com/primo-explore/search?tab=default_tab&amp;search_scope=EVERYTHING&amp;vid=01CRU&amp;lang=en_US&amp;offset=0&amp;query=any,contains,991001652239702656","Catalog Record")</f>
        <v/>
      </c>
      <c r="AT1038">
        <f>HYPERLINK("http://www.worldcat.org/oclc/25509646","WorldCat Record")</f>
        <v/>
      </c>
      <c r="AU1038" t="inlineStr">
        <is>
          <t>930392:eng</t>
        </is>
      </c>
      <c r="AV1038" t="inlineStr">
        <is>
          <t>25509646</t>
        </is>
      </c>
      <c r="AW1038" t="inlineStr">
        <is>
          <t>991001652239702656</t>
        </is>
      </c>
      <c r="AX1038" t="inlineStr">
        <is>
          <t>991001652239702656</t>
        </is>
      </c>
      <c r="AY1038" t="inlineStr">
        <is>
          <t>2271858760002656</t>
        </is>
      </c>
      <c r="AZ1038" t="inlineStr">
        <is>
          <t>BOOK</t>
        </is>
      </c>
      <c r="BB1038" t="inlineStr">
        <is>
          <t>9780879757564</t>
        </is>
      </c>
      <c r="BC1038" t="inlineStr">
        <is>
          <t>32285001319721</t>
        </is>
      </c>
      <c r="BD1038" t="inlineStr">
        <is>
          <t>893414370</t>
        </is>
      </c>
    </row>
    <row r="1039">
      <c r="A1039" t="inlineStr">
        <is>
          <t>No</t>
        </is>
      </c>
      <c r="B1039" t="inlineStr">
        <is>
          <t>HV7436 .D43 2001</t>
        </is>
      </c>
      <c r="C1039" t="inlineStr">
        <is>
          <t>0                      HV 7436000D  43          2001</t>
        </is>
      </c>
      <c r="D1039" t="inlineStr">
        <is>
          <t>Gun violence in America : the struggle for control / Alexander DeConde.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DeConde, Alexander.</t>
        </is>
      </c>
      <c r="L1039" t="inlineStr">
        <is>
          <t>Boston : Northeastern University Press, c2001.</t>
        </is>
      </c>
      <c r="M1039" t="inlineStr">
        <is>
          <t>2001</t>
        </is>
      </c>
      <c r="O1039" t="inlineStr">
        <is>
          <t>eng</t>
        </is>
      </c>
      <c r="P1039" t="inlineStr">
        <is>
          <t>mau</t>
        </is>
      </c>
      <c r="R1039" t="inlineStr">
        <is>
          <t xml:space="preserve">HV </t>
        </is>
      </c>
      <c r="S1039" t="n">
        <v>2</v>
      </c>
      <c r="T1039" t="n">
        <v>2</v>
      </c>
      <c r="U1039" t="inlineStr">
        <is>
          <t>2002-09-24</t>
        </is>
      </c>
      <c r="V1039" t="inlineStr">
        <is>
          <t>2002-09-24</t>
        </is>
      </c>
      <c r="W1039" t="inlineStr">
        <is>
          <t>2001-07-03</t>
        </is>
      </c>
      <c r="X1039" t="inlineStr">
        <is>
          <t>2001-07-03</t>
        </is>
      </c>
      <c r="Y1039" t="n">
        <v>1056</v>
      </c>
      <c r="Z1039" t="n">
        <v>993</v>
      </c>
      <c r="AA1039" t="n">
        <v>1024</v>
      </c>
      <c r="AB1039" t="n">
        <v>5</v>
      </c>
      <c r="AC1039" t="n">
        <v>5</v>
      </c>
      <c r="AD1039" t="n">
        <v>41</v>
      </c>
      <c r="AE1039" t="n">
        <v>42</v>
      </c>
      <c r="AF1039" t="n">
        <v>15</v>
      </c>
      <c r="AG1039" t="n">
        <v>15</v>
      </c>
      <c r="AH1039" t="n">
        <v>8</v>
      </c>
      <c r="AI1039" t="n">
        <v>8</v>
      </c>
      <c r="AJ1039" t="n">
        <v>17</v>
      </c>
      <c r="AK1039" t="n">
        <v>18</v>
      </c>
      <c r="AL1039" t="n">
        <v>4</v>
      </c>
      <c r="AM1039" t="n">
        <v>4</v>
      </c>
      <c r="AN1039" t="n">
        <v>6</v>
      </c>
      <c r="AO1039" t="n">
        <v>6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HYPERLINK("http://catalog.hathitrust.org/Record/004178800","HathiTrust Record")</f>
        <v/>
      </c>
      <c r="AS1039">
        <f>HYPERLINK("https://creighton-primo.hosted.exlibrisgroup.com/primo-explore/search?tab=default_tab&amp;search_scope=EVERYTHING&amp;vid=01CRU&amp;lang=en_US&amp;offset=0&amp;query=any,contains,991003541739702656","Catalog Record")</f>
        <v/>
      </c>
      <c r="AT1039">
        <f>HYPERLINK("http://www.worldcat.org/oclc/45618242","WorldCat Record")</f>
        <v/>
      </c>
      <c r="AU1039" t="inlineStr">
        <is>
          <t>772037:eng</t>
        </is>
      </c>
      <c r="AV1039" t="inlineStr">
        <is>
          <t>45618242</t>
        </is>
      </c>
      <c r="AW1039" t="inlineStr">
        <is>
          <t>991003541739702656</t>
        </is>
      </c>
      <c r="AX1039" t="inlineStr">
        <is>
          <t>991003541739702656</t>
        </is>
      </c>
      <c r="AY1039" t="inlineStr">
        <is>
          <t>2258727690002656</t>
        </is>
      </c>
      <c r="AZ1039" t="inlineStr">
        <is>
          <t>BOOK</t>
        </is>
      </c>
      <c r="BB1039" t="inlineStr">
        <is>
          <t>9781555534868</t>
        </is>
      </c>
      <c r="BC1039" t="inlineStr">
        <is>
          <t>32285004330154</t>
        </is>
      </c>
      <c r="BD1039" t="inlineStr">
        <is>
          <t>893348787</t>
        </is>
      </c>
    </row>
    <row r="1040">
      <c r="A1040" t="inlineStr">
        <is>
          <t>No</t>
        </is>
      </c>
      <c r="B1040" t="inlineStr">
        <is>
          <t>HV7436 .F47 1984</t>
        </is>
      </c>
      <c r="C1040" t="inlineStr">
        <is>
          <t>0                      HV 7436000F  47          1984</t>
        </is>
      </c>
      <c r="D1040" t="inlineStr">
        <is>
          <t>Firearms and violence : issues of public policy / edited by Don B. Kates, Jr. ; foreword by John Kaplan.</t>
        </is>
      </c>
      <c r="F1040" t="inlineStr">
        <is>
          <t>No</t>
        </is>
      </c>
      <c r="G1040" t="inlineStr">
        <is>
          <t>1</t>
        </is>
      </c>
      <c r="H1040" t="inlineStr">
        <is>
          <t>Yes</t>
        </is>
      </c>
      <c r="I1040" t="inlineStr">
        <is>
          <t>No</t>
        </is>
      </c>
      <c r="J1040" t="inlineStr">
        <is>
          <t>0</t>
        </is>
      </c>
      <c r="L1040" t="inlineStr">
        <is>
          <t>San Francisco, Calif. : Pacific Institute for Public Policy Research ; Cambridge, Mass. : Ballinger, c1984.</t>
        </is>
      </c>
      <c r="M1040" t="inlineStr">
        <is>
          <t>1984</t>
        </is>
      </c>
      <c r="O1040" t="inlineStr">
        <is>
          <t>eng</t>
        </is>
      </c>
      <c r="P1040" t="inlineStr">
        <is>
          <t>cau</t>
        </is>
      </c>
      <c r="Q1040" t="inlineStr">
        <is>
          <t>Pacific studies in public policy</t>
        </is>
      </c>
      <c r="R1040" t="inlineStr">
        <is>
          <t xml:space="preserve">HV </t>
        </is>
      </c>
      <c r="S1040" t="n">
        <v>36</v>
      </c>
      <c r="T1040" t="n">
        <v>38</v>
      </c>
      <c r="U1040" t="inlineStr">
        <is>
          <t>2009-11-09</t>
        </is>
      </c>
      <c r="V1040" t="inlineStr">
        <is>
          <t>2009-11-09</t>
        </is>
      </c>
      <c r="W1040" t="inlineStr">
        <is>
          <t>1990-04-25</t>
        </is>
      </c>
      <c r="X1040" t="inlineStr">
        <is>
          <t>1991-08-16</t>
        </is>
      </c>
      <c r="Y1040" t="n">
        <v>659</v>
      </c>
      <c r="Z1040" t="n">
        <v>610</v>
      </c>
      <c r="AA1040" t="n">
        <v>616</v>
      </c>
      <c r="AB1040" t="n">
        <v>6</v>
      </c>
      <c r="AC1040" t="n">
        <v>6</v>
      </c>
      <c r="AD1040" t="n">
        <v>40</v>
      </c>
      <c r="AE1040" t="n">
        <v>40</v>
      </c>
      <c r="AF1040" t="n">
        <v>11</v>
      </c>
      <c r="AG1040" t="n">
        <v>11</v>
      </c>
      <c r="AH1040" t="n">
        <v>6</v>
      </c>
      <c r="AI1040" t="n">
        <v>6</v>
      </c>
      <c r="AJ1040" t="n">
        <v>12</v>
      </c>
      <c r="AK1040" t="n">
        <v>12</v>
      </c>
      <c r="AL1040" t="n">
        <v>4</v>
      </c>
      <c r="AM1040" t="n">
        <v>4</v>
      </c>
      <c r="AN1040" t="n">
        <v>14</v>
      </c>
      <c r="AO1040" t="n">
        <v>14</v>
      </c>
      <c r="AP1040" t="inlineStr">
        <is>
          <t>No</t>
        </is>
      </c>
      <c r="AQ1040" t="inlineStr">
        <is>
          <t>No</t>
        </is>
      </c>
      <c r="AS1040">
        <f>HYPERLINK("https://creighton-primo.hosted.exlibrisgroup.com/primo-explore/search?tab=default_tab&amp;search_scope=EVERYTHING&amp;vid=01CRU&amp;lang=en_US&amp;offset=0&amp;query=any,contains,991001626889702656","Catalog Record")</f>
        <v/>
      </c>
      <c r="AT1040">
        <f>HYPERLINK("http://www.worldcat.org/oclc/10228822","WorldCat Record")</f>
        <v/>
      </c>
      <c r="AU1040" t="inlineStr">
        <is>
          <t>917298187:eng</t>
        </is>
      </c>
      <c r="AV1040" t="inlineStr">
        <is>
          <t>10228822</t>
        </is>
      </c>
      <c r="AW1040" t="inlineStr">
        <is>
          <t>991001626889702656</t>
        </is>
      </c>
      <c r="AX1040" t="inlineStr">
        <is>
          <t>991001626889702656</t>
        </is>
      </c>
      <c r="AY1040" t="inlineStr">
        <is>
          <t>2264269420002656</t>
        </is>
      </c>
      <c r="AZ1040" t="inlineStr">
        <is>
          <t>BOOK</t>
        </is>
      </c>
      <c r="BB1040" t="inlineStr">
        <is>
          <t>9780884109228</t>
        </is>
      </c>
      <c r="BC1040" t="inlineStr">
        <is>
          <t>32285000133248</t>
        </is>
      </c>
      <c r="BD1040" t="inlineStr">
        <is>
          <t>893340553</t>
        </is>
      </c>
    </row>
    <row r="1041">
      <c r="A1041" t="inlineStr">
        <is>
          <t>No</t>
        </is>
      </c>
      <c r="B1041" t="inlineStr">
        <is>
          <t>HV7436 .V59 2000</t>
        </is>
      </c>
      <c r="C1041" t="inlineStr">
        <is>
          <t>0                      HV 7436000V  59          2000</t>
        </is>
      </c>
      <c r="D1041" t="inlineStr">
        <is>
          <t>Shots in the dark : the policy, politics, and symbolism of gun control / William J. Vizzard.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Vizzard, William J., 1944-</t>
        </is>
      </c>
      <c r="L1041" t="inlineStr">
        <is>
          <t>Lanham, Md. : Rowman &amp; Littlefield Publishers, c2000.</t>
        </is>
      </c>
      <c r="M1041" t="inlineStr">
        <is>
          <t>2000</t>
        </is>
      </c>
      <c r="O1041" t="inlineStr">
        <is>
          <t>eng</t>
        </is>
      </c>
      <c r="P1041" t="inlineStr">
        <is>
          <t>mdu</t>
        </is>
      </c>
      <c r="R1041" t="inlineStr">
        <is>
          <t xml:space="preserve">HV </t>
        </is>
      </c>
      <c r="S1041" t="n">
        <v>3</v>
      </c>
      <c r="T1041" t="n">
        <v>3</v>
      </c>
      <c r="U1041" t="inlineStr">
        <is>
          <t>2002-10-03</t>
        </is>
      </c>
      <c r="V1041" t="inlineStr">
        <is>
          <t>2002-10-03</t>
        </is>
      </c>
      <c r="W1041" t="inlineStr">
        <is>
          <t>2001-10-29</t>
        </is>
      </c>
      <c r="X1041" t="inlineStr">
        <is>
          <t>2001-10-29</t>
        </is>
      </c>
      <c r="Y1041" t="n">
        <v>997</v>
      </c>
      <c r="Z1041" t="n">
        <v>945</v>
      </c>
      <c r="AA1041" t="n">
        <v>951</v>
      </c>
      <c r="AB1041" t="n">
        <v>5</v>
      </c>
      <c r="AC1041" t="n">
        <v>5</v>
      </c>
      <c r="AD1041" t="n">
        <v>27</v>
      </c>
      <c r="AE1041" t="n">
        <v>27</v>
      </c>
      <c r="AF1041" t="n">
        <v>10</v>
      </c>
      <c r="AG1041" t="n">
        <v>10</v>
      </c>
      <c r="AH1041" t="n">
        <v>8</v>
      </c>
      <c r="AI1041" t="n">
        <v>8</v>
      </c>
      <c r="AJ1041" t="n">
        <v>14</v>
      </c>
      <c r="AK1041" t="n">
        <v>14</v>
      </c>
      <c r="AL1041" t="n">
        <v>3</v>
      </c>
      <c r="AM1041" t="n">
        <v>3</v>
      </c>
      <c r="AN1041" t="n">
        <v>1</v>
      </c>
      <c r="AO1041" t="n">
        <v>1</v>
      </c>
      <c r="AP1041" t="inlineStr">
        <is>
          <t>No</t>
        </is>
      </c>
      <c r="AQ1041" t="inlineStr">
        <is>
          <t>No</t>
        </is>
      </c>
      <c r="AS1041">
        <f>HYPERLINK("https://creighton-primo.hosted.exlibrisgroup.com/primo-explore/search?tab=default_tab&amp;search_scope=EVERYTHING&amp;vid=01CRU&amp;lang=en_US&amp;offset=0&amp;query=any,contains,991003645519702656","Catalog Record")</f>
        <v/>
      </c>
      <c r="AT1041">
        <f>HYPERLINK("http://www.worldcat.org/oclc/43811241","WorldCat Record")</f>
        <v/>
      </c>
      <c r="AU1041" t="inlineStr">
        <is>
          <t>140937137:eng</t>
        </is>
      </c>
      <c r="AV1041" t="inlineStr">
        <is>
          <t>43811241</t>
        </is>
      </c>
      <c r="AW1041" t="inlineStr">
        <is>
          <t>991003645519702656</t>
        </is>
      </c>
      <c r="AX1041" t="inlineStr">
        <is>
          <t>991003645519702656</t>
        </is>
      </c>
      <c r="AY1041" t="inlineStr">
        <is>
          <t>2269127270002656</t>
        </is>
      </c>
      <c r="AZ1041" t="inlineStr">
        <is>
          <t>BOOK</t>
        </is>
      </c>
      <c r="BB1041" t="inlineStr">
        <is>
          <t>9780847695591</t>
        </is>
      </c>
      <c r="BC1041" t="inlineStr">
        <is>
          <t>32285004415930</t>
        </is>
      </c>
      <c r="BD1041" t="inlineStr">
        <is>
          <t>893605041</t>
        </is>
      </c>
    </row>
    <row r="1042">
      <c r="A1042" t="inlineStr">
        <is>
          <t>No</t>
        </is>
      </c>
      <c r="B1042" t="inlineStr">
        <is>
          <t>HV751.A6 C52 2008</t>
        </is>
      </c>
      <c r="C1042" t="inlineStr">
        <is>
          <t>0                      HV 0751000A  6                  C  52          2008</t>
        </is>
      </c>
      <c r="D1042" t="inlineStr">
        <is>
          <t>Changing children's services : working and learning together / edited by Pam Foley and Andy Rixon.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L1042" t="inlineStr">
        <is>
          <t>Bristol : Policy Press in association with Open University, 2008.</t>
        </is>
      </c>
      <c r="M1042" t="inlineStr">
        <is>
          <t>2008</t>
        </is>
      </c>
      <c r="O1042" t="inlineStr">
        <is>
          <t>eng</t>
        </is>
      </c>
      <c r="P1042" t="inlineStr">
        <is>
          <t>enk</t>
        </is>
      </c>
      <c r="Q1042" t="inlineStr">
        <is>
          <t>Working together for children ; bk. 3</t>
        </is>
      </c>
      <c r="R1042" t="inlineStr">
        <is>
          <t xml:space="preserve">HV </t>
        </is>
      </c>
      <c r="S1042" t="n">
        <v>1</v>
      </c>
      <c r="T1042" t="n">
        <v>1</v>
      </c>
      <c r="U1042" t="inlineStr">
        <is>
          <t>2009-02-23</t>
        </is>
      </c>
      <c r="V1042" t="inlineStr">
        <is>
          <t>2009-02-23</t>
        </is>
      </c>
      <c r="W1042" t="inlineStr">
        <is>
          <t>2009-02-23</t>
        </is>
      </c>
      <c r="X1042" t="inlineStr">
        <is>
          <t>2009-02-23</t>
        </is>
      </c>
      <c r="Y1042" t="n">
        <v>129</v>
      </c>
      <c r="Z1042" t="n">
        <v>37</v>
      </c>
      <c r="AA1042" t="n">
        <v>71</v>
      </c>
      <c r="AB1042" t="n">
        <v>1</v>
      </c>
      <c r="AC1042" t="n">
        <v>1</v>
      </c>
      <c r="AD1042" t="n">
        <v>2</v>
      </c>
      <c r="AE1042" t="n">
        <v>2</v>
      </c>
      <c r="AF1042" t="n">
        <v>0</v>
      </c>
      <c r="AG1042" t="n">
        <v>0</v>
      </c>
      <c r="AH1042" t="n">
        <v>1</v>
      </c>
      <c r="AI1042" t="n">
        <v>1</v>
      </c>
      <c r="AJ1042" t="n">
        <v>2</v>
      </c>
      <c r="AK1042" t="n">
        <v>2</v>
      </c>
      <c r="AL1042" t="n">
        <v>0</v>
      </c>
      <c r="AM1042" t="n">
        <v>0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No</t>
        </is>
      </c>
      <c r="AS1042">
        <f>HYPERLINK("https://creighton-primo.hosted.exlibrisgroup.com/primo-explore/search?tab=default_tab&amp;search_scope=EVERYTHING&amp;vid=01CRU&amp;lang=en_US&amp;offset=0&amp;query=any,contains,991005293469702656","Catalog Record")</f>
        <v/>
      </c>
      <c r="AT1042">
        <f>HYPERLINK("http://www.worldcat.org/oclc/178197914","WorldCat Record")</f>
        <v/>
      </c>
      <c r="AU1042" t="inlineStr">
        <is>
          <t>1104453584:eng</t>
        </is>
      </c>
      <c r="AV1042" t="inlineStr">
        <is>
          <t>178197914</t>
        </is>
      </c>
      <c r="AW1042" t="inlineStr">
        <is>
          <t>991005293469702656</t>
        </is>
      </c>
      <c r="AX1042" t="inlineStr">
        <is>
          <t>991005293469702656</t>
        </is>
      </c>
      <c r="AY1042" t="inlineStr">
        <is>
          <t>2260863620002656</t>
        </is>
      </c>
      <c r="AZ1042" t="inlineStr">
        <is>
          <t>BOOK</t>
        </is>
      </c>
      <c r="BB1042" t="inlineStr">
        <is>
          <t>9781847420602</t>
        </is>
      </c>
      <c r="BC1042" t="inlineStr">
        <is>
          <t>32285005505606</t>
        </is>
      </c>
      <c r="BD1042" t="inlineStr">
        <is>
          <t>893351058</t>
        </is>
      </c>
    </row>
    <row r="1043">
      <c r="A1043" t="inlineStr">
        <is>
          <t>No</t>
        </is>
      </c>
      <c r="B1043" t="inlineStr">
        <is>
          <t>HV7911.A77 A3 2008</t>
        </is>
      </c>
      <c r="C1043" t="inlineStr">
        <is>
          <t>0                      HV 7911000A  77                 A  3           2008</t>
        </is>
      </c>
      <c r="D1043" t="inlineStr">
        <is>
          <t>Joe's law : America's toughest sheriff takes on illegal immigration, drugs, and everything else that threatens America / Joe Arpaio and Len Sherman.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Arpaio, Joe, 1932-</t>
        </is>
      </c>
      <c r="L1043" t="inlineStr">
        <is>
          <t>New York : AMACOM, c2008.</t>
        </is>
      </c>
      <c r="M1043" t="inlineStr">
        <is>
          <t>2008</t>
        </is>
      </c>
      <c r="O1043" t="inlineStr">
        <is>
          <t>eng</t>
        </is>
      </c>
      <c r="P1043" t="inlineStr">
        <is>
          <t>nyu</t>
        </is>
      </c>
      <c r="R1043" t="inlineStr">
        <is>
          <t xml:space="preserve">HV </t>
        </is>
      </c>
      <c r="S1043" t="n">
        <v>5</v>
      </c>
      <c r="T1043" t="n">
        <v>5</v>
      </c>
      <c r="U1043" t="inlineStr">
        <is>
          <t>2009-10-30</t>
        </is>
      </c>
      <c r="V1043" t="inlineStr">
        <is>
          <t>2009-10-30</t>
        </is>
      </c>
      <c r="W1043" t="inlineStr">
        <is>
          <t>2008-06-18</t>
        </is>
      </c>
      <c r="X1043" t="inlineStr">
        <is>
          <t>2008-06-18</t>
        </is>
      </c>
      <c r="Y1043" t="n">
        <v>294</v>
      </c>
      <c r="Z1043" t="n">
        <v>283</v>
      </c>
      <c r="AA1043" t="n">
        <v>589</v>
      </c>
      <c r="AB1043" t="n">
        <v>3</v>
      </c>
      <c r="AC1043" t="n">
        <v>6</v>
      </c>
      <c r="AD1043" t="n">
        <v>6</v>
      </c>
      <c r="AE1043" t="n">
        <v>11</v>
      </c>
      <c r="AF1043" t="n">
        <v>1</v>
      </c>
      <c r="AG1043" t="n">
        <v>2</v>
      </c>
      <c r="AH1043" t="n">
        <v>1</v>
      </c>
      <c r="AI1043" t="n">
        <v>1</v>
      </c>
      <c r="AJ1043" t="n">
        <v>4</v>
      </c>
      <c r="AK1043" t="n">
        <v>5</v>
      </c>
      <c r="AL1043" t="n">
        <v>1</v>
      </c>
      <c r="AM1043" t="n">
        <v>4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No</t>
        </is>
      </c>
      <c r="AS1043">
        <f>HYPERLINK("https://creighton-primo.hosted.exlibrisgroup.com/primo-explore/search?tab=default_tab&amp;search_scope=EVERYTHING&amp;vid=01CRU&amp;lang=en_US&amp;offset=0&amp;query=any,contains,991005226699702656","Catalog Record")</f>
        <v/>
      </c>
      <c r="AT1043">
        <f>HYPERLINK("http://www.worldcat.org/oclc/183265120","WorldCat Record")</f>
        <v/>
      </c>
      <c r="AU1043" t="inlineStr">
        <is>
          <t>796532305:eng</t>
        </is>
      </c>
      <c r="AV1043" t="inlineStr">
        <is>
          <t>183265120</t>
        </is>
      </c>
      <c r="AW1043" t="inlineStr">
        <is>
          <t>991005226699702656</t>
        </is>
      </c>
      <c r="AX1043" t="inlineStr">
        <is>
          <t>991005226699702656</t>
        </is>
      </c>
      <c r="AY1043" t="inlineStr">
        <is>
          <t>2270234840002656</t>
        </is>
      </c>
      <c r="AZ1043" t="inlineStr">
        <is>
          <t>BOOK</t>
        </is>
      </c>
      <c r="BB1043" t="inlineStr">
        <is>
          <t>9780814401996</t>
        </is>
      </c>
      <c r="BC1043" t="inlineStr">
        <is>
          <t>32285005446488</t>
        </is>
      </c>
      <c r="BD1043" t="inlineStr">
        <is>
          <t>893688803</t>
        </is>
      </c>
    </row>
    <row r="1044">
      <c r="A1044" t="inlineStr">
        <is>
          <t>No</t>
        </is>
      </c>
      <c r="B1044" t="inlineStr">
        <is>
          <t>HV7911.C66 A3 2004</t>
        </is>
      </c>
      <c r="C1044" t="inlineStr">
        <is>
          <t>0                      HV 7911000C  66                 A  3           2004</t>
        </is>
      </c>
      <c r="D1044" t="inlineStr">
        <is>
          <t>Blue blood / Edward Conlon.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Conlon, Edward, 1965-</t>
        </is>
      </c>
      <c r="L1044" t="inlineStr">
        <is>
          <t>New York : Riverhead Books, c2004.</t>
        </is>
      </c>
      <c r="M1044" t="inlineStr">
        <is>
          <t>2004</t>
        </is>
      </c>
      <c r="O1044" t="inlineStr">
        <is>
          <t>eng</t>
        </is>
      </c>
      <c r="P1044" t="inlineStr">
        <is>
          <t>nyu</t>
        </is>
      </c>
      <c r="R1044" t="inlineStr">
        <is>
          <t xml:space="preserve">HV </t>
        </is>
      </c>
      <c r="S1044" t="n">
        <v>4</v>
      </c>
      <c r="T1044" t="n">
        <v>4</v>
      </c>
      <c r="U1044" t="inlineStr">
        <is>
          <t>2007-09-06</t>
        </is>
      </c>
      <c r="V1044" t="inlineStr">
        <is>
          <t>2007-09-06</t>
        </is>
      </c>
      <c r="W1044" t="inlineStr">
        <is>
          <t>2004-06-07</t>
        </is>
      </c>
      <c r="X1044" t="inlineStr">
        <is>
          <t>2004-06-07</t>
        </is>
      </c>
      <c r="Y1044" t="n">
        <v>1645</v>
      </c>
      <c r="Z1044" t="n">
        <v>1585</v>
      </c>
      <c r="AA1044" t="n">
        <v>1710</v>
      </c>
      <c r="AB1044" t="n">
        <v>11</v>
      </c>
      <c r="AC1044" t="n">
        <v>11</v>
      </c>
      <c r="AD1044" t="n">
        <v>19</v>
      </c>
      <c r="AE1044" t="n">
        <v>20</v>
      </c>
      <c r="AF1044" t="n">
        <v>9</v>
      </c>
      <c r="AG1044" t="n">
        <v>10</v>
      </c>
      <c r="AH1044" t="n">
        <v>4</v>
      </c>
      <c r="AI1044" t="n">
        <v>4</v>
      </c>
      <c r="AJ1044" t="n">
        <v>9</v>
      </c>
      <c r="AK1044" t="n">
        <v>10</v>
      </c>
      <c r="AL1044" t="n">
        <v>0</v>
      </c>
      <c r="AM1044" t="n">
        <v>0</v>
      </c>
      <c r="AN1044" t="n">
        <v>2</v>
      </c>
      <c r="AO1044" t="n">
        <v>2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HYPERLINK("https://creighton-primo.hosted.exlibrisgroup.com/primo-explore/search?tab=default_tab&amp;search_scope=EVERYTHING&amp;vid=01CRU&amp;lang=en_US&amp;offset=0&amp;query=any,contains,991004302529702656","Catalog Record")</f>
        <v/>
      </c>
      <c r="AT1044">
        <f>HYPERLINK("http://www.worldcat.org/oclc/53289713","WorldCat Record")</f>
        <v/>
      </c>
      <c r="AU1044" t="inlineStr">
        <is>
          <t>3855944630:eng</t>
        </is>
      </c>
      <c r="AV1044" t="inlineStr">
        <is>
          <t>53289713</t>
        </is>
      </c>
      <c r="AW1044" t="inlineStr">
        <is>
          <t>991004302529702656</t>
        </is>
      </c>
      <c r="AX1044" t="inlineStr">
        <is>
          <t>991004302529702656</t>
        </is>
      </c>
      <c r="AY1044" t="inlineStr">
        <is>
          <t>2255990300002656</t>
        </is>
      </c>
      <c r="AZ1044" t="inlineStr">
        <is>
          <t>BOOK</t>
        </is>
      </c>
      <c r="BB1044" t="inlineStr">
        <is>
          <t>9781573222662</t>
        </is>
      </c>
      <c r="BC1044" t="inlineStr">
        <is>
          <t>32285004907696</t>
        </is>
      </c>
      <c r="BD1044" t="inlineStr">
        <is>
          <t>893806892</t>
        </is>
      </c>
    </row>
    <row r="1045">
      <c r="A1045" t="inlineStr">
        <is>
          <t>No</t>
        </is>
      </c>
      <c r="B1045" t="inlineStr">
        <is>
          <t>HV7911.D443 A3 2001</t>
        </is>
      </c>
      <c r="C1045" t="inlineStr">
        <is>
          <t>0                      HV 7911000D  443                A  3           2001</t>
        </is>
      </c>
      <c r="D1045" t="inlineStr">
        <is>
          <t>Special agent : my life on the front lines as a woman in the FBI / Candice DeLong and Elisa Petrini.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DeLong, Candice.</t>
        </is>
      </c>
      <c r="L1045" t="inlineStr">
        <is>
          <t>New York : Hyperion, c2001.</t>
        </is>
      </c>
      <c r="M1045" t="inlineStr">
        <is>
          <t>2001</t>
        </is>
      </c>
      <c r="N1045" t="inlineStr">
        <is>
          <t>1st ed.</t>
        </is>
      </c>
      <c r="O1045" t="inlineStr">
        <is>
          <t>eng</t>
        </is>
      </c>
      <c r="P1045" t="inlineStr">
        <is>
          <t>nyu</t>
        </is>
      </c>
      <c r="R1045" t="inlineStr">
        <is>
          <t xml:space="preserve">HV </t>
        </is>
      </c>
      <c r="S1045" t="n">
        <v>6</v>
      </c>
      <c r="T1045" t="n">
        <v>6</v>
      </c>
      <c r="U1045" t="inlineStr">
        <is>
          <t>2007-09-09</t>
        </is>
      </c>
      <c r="V1045" t="inlineStr">
        <is>
          <t>2007-09-09</t>
        </is>
      </c>
      <c r="W1045" t="inlineStr">
        <is>
          <t>2001-07-10</t>
        </is>
      </c>
      <c r="X1045" t="inlineStr">
        <is>
          <t>2001-07-10</t>
        </is>
      </c>
      <c r="Y1045" t="n">
        <v>1008</v>
      </c>
      <c r="Z1045" t="n">
        <v>970</v>
      </c>
      <c r="AA1045" t="n">
        <v>998</v>
      </c>
      <c r="AB1045" t="n">
        <v>8</v>
      </c>
      <c r="AC1045" t="n">
        <v>8</v>
      </c>
      <c r="AD1045" t="n">
        <v>11</v>
      </c>
      <c r="AE1045" t="n">
        <v>11</v>
      </c>
      <c r="AF1045" t="n">
        <v>3</v>
      </c>
      <c r="AG1045" t="n">
        <v>3</v>
      </c>
      <c r="AH1045" t="n">
        <v>1</v>
      </c>
      <c r="AI1045" t="n">
        <v>1</v>
      </c>
      <c r="AJ1045" t="n">
        <v>4</v>
      </c>
      <c r="AK1045" t="n">
        <v>4</v>
      </c>
      <c r="AL1045" t="n">
        <v>2</v>
      </c>
      <c r="AM1045" t="n">
        <v>2</v>
      </c>
      <c r="AN1045" t="n">
        <v>1</v>
      </c>
      <c r="AO1045" t="n">
        <v>1</v>
      </c>
      <c r="AP1045" t="inlineStr">
        <is>
          <t>No</t>
        </is>
      </c>
      <c r="AQ1045" t="inlineStr">
        <is>
          <t>No</t>
        </is>
      </c>
      <c r="AS1045">
        <f>HYPERLINK("https://creighton-primo.hosted.exlibrisgroup.com/primo-explore/search?tab=default_tab&amp;search_scope=EVERYTHING&amp;vid=01CRU&amp;lang=en_US&amp;offset=0&amp;query=any,contains,991003557069702656","Catalog Record")</f>
        <v/>
      </c>
      <c r="AT1045">
        <f>HYPERLINK("http://www.worldcat.org/oclc/45634521","WorldCat Record")</f>
        <v/>
      </c>
      <c r="AU1045" t="inlineStr">
        <is>
          <t>10227335230:eng</t>
        </is>
      </c>
      <c r="AV1045" t="inlineStr">
        <is>
          <t>45634521</t>
        </is>
      </c>
      <c r="AW1045" t="inlineStr">
        <is>
          <t>991003557069702656</t>
        </is>
      </c>
      <c r="AX1045" t="inlineStr">
        <is>
          <t>991003557069702656</t>
        </is>
      </c>
      <c r="AY1045" t="inlineStr">
        <is>
          <t>2260593890002656</t>
        </is>
      </c>
      <c r="AZ1045" t="inlineStr">
        <is>
          <t>BOOK</t>
        </is>
      </c>
      <c r="BB1045" t="inlineStr">
        <is>
          <t>9780786867073</t>
        </is>
      </c>
      <c r="BC1045" t="inlineStr">
        <is>
          <t>32285004331111</t>
        </is>
      </c>
      <c r="BD1045" t="inlineStr">
        <is>
          <t>893342688</t>
        </is>
      </c>
    </row>
    <row r="1046">
      <c r="A1046" t="inlineStr">
        <is>
          <t>No</t>
        </is>
      </c>
      <c r="B1046" t="inlineStr">
        <is>
          <t>HV7911.H6 G46 1991</t>
        </is>
      </c>
      <c r="C1046" t="inlineStr">
        <is>
          <t>0                      HV 7911000H  6                  G  46          1991</t>
        </is>
      </c>
      <c r="D1046" t="inlineStr">
        <is>
          <t>J. Edgar Hoover : the man and the secrets / Curt Gentry.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Gentry, Curt, 1931-2014.</t>
        </is>
      </c>
      <c r="L1046" t="inlineStr">
        <is>
          <t>New York : Norton, c1991.</t>
        </is>
      </c>
      <c r="M1046" t="inlineStr">
        <is>
          <t>1991</t>
        </is>
      </c>
      <c r="N1046" t="inlineStr">
        <is>
          <t>1st ed.</t>
        </is>
      </c>
      <c r="O1046" t="inlineStr">
        <is>
          <t>eng</t>
        </is>
      </c>
      <c r="P1046" t="inlineStr">
        <is>
          <t>nyu</t>
        </is>
      </c>
      <c r="R1046" t="inlineStr">
        <is>
          <t xml:space="preserve">HV </t>
        </is>
      </c>
      <c r="S1046" t="n">
        <v>8</v>
      </c>
      <c r="T1046" t="n">
        <v>8</v>
      </c>
      <c r="U1046" t="inlineStr">
        <is>
          <t>2006-02-02</t>
        </is>
      </c>
      <c r="V1046" t="inlineStr">
        <is>
          <t>2006-02-02</t>
        </is>
      </c>
      <c r="W1046" t="inlineStr">
        <is>
          <t>1991-09-27</t>
        </is>
      </c>
      <c r="X1046" t="inlineStr">
        <is>
          <t>1991-09-27</t>
        </is>
      </c>
      <c r="Y1046" t="n">
        <v>2305</v>
      </c>
      <c r="Z1046" t="n">
        <v>2168</v>
      </c>
      <c r="AA1046" t="n">
        <v>2526</v>
      </c>
      <c r="AB1046" t="n">
        <v>20</v>
      </c>
      <c r="AC1046" t="n">
        <v>23</v>
      </c>
      <c r="AD1046" t="n">
        <v>43</v>
      </c>
      <c r="AE1046" t="n">
        <v>49</v>
      </c>
      <c r="AF1046" t="n">
        <v>14</v>
      </c>
      <c r="AG1046" t="n">
        <v>16</v>
      </c>
      <c r="AH1046" t="n">
        <v>8</v>
      </c>
      <c r="AI1046" t="n">
        <v>9</v>
      </c>
      <c r="AJ1046" t="n">
        <v>18</v>
      </c>
      <c r="AK1046" t="n">
        <v>20</v>
      </c>
      <c r="AL1046" t="n">
        <v>7</v>
      </c>
      <c r="AM1046" t="n">
        <v>9</v>
      </c>
      <c r="AN1046" t="n">
        <v>5</v>
      </c>
      <c r="AO1046" t="n">
        <v>5</v>
      </c>
      <c r="AP1046" t="inlineStr">
        <is>
          <t>No</t>
        </is>
      </c>
      <c r="AQ1046" t="inlineStr">
        <is>
          <t>No</t>
        </is>
      </c>
      <c r="AS1046">
        <f>HYPERLINK("https://creighton-primo.hosted.exlibrisgroup.com/primo-explore/search?tab=default_tab&amp;search_scope=EVERYTHING&amp;vid=01CRU&amp;lang=en_US&amp;offset=0&amp;query=any,contains,991001644559702656","Catalog Record")</f>
        <v/>
      </c>
      <c r="AT1046">
        <f>HYPERLINK("http://www.worldcat.org/oclc/21040965","WorldCat Record")</f>
        <v/>
      </c>
      <c r="AU1046" t="inlineStr">
        <is>
          <t>45039:eng</t>
        </is>
      </c>
      <c r="AV1046" t="inlineStr">
        <is>
          <t>21040965</t>
        </is>
      </c>
      <c r="AW1046" t="inlineStr">
        <is>
          <t>991001644559702656</t>
        </is>
      </c>
      <c r="AX1046" t="inlineStr">
        <is>
          <t>991001644559702656</t>
        </is>
      </c>
      <c r="AY1046" t="inlineStr">
        <is>
          <t>2270127660002656</t>
        </is>
      </c>
      <c r="AZ1046" t="inlineStr">
        <is>
          <t>BOOK</t>
        </is>
      </c>
      <c r="BB1046" t="inlineStr">
        <is>
          <t>9780393024043</t>
        </is>
      </c>
      <c r="BC1046" t="inlineStr">
        <is>
          <t>32285000725332</t>
        </is>
      </c>
      <c r="BD1046" t="inlineStr">
        <is>
          <t>893621521</t>
        </is>
      </c>
    </row>
    <row r="1047">
      <c r="A1047" t="inlineStr">
        <is>
          <t>No</t>
        </is>
      </c>
      <c r="B1047" t="inlineStr">
        <is>
          <t>HV7911.H6 H33 2004</t>
        </is>
      </c>
      <c r="C1047" t="inlineStr">
        <is>
          <t>0                      HV 7911000H  6                  H  33          2004</t>
        </is>
      </c>
      <c r="D1047" t="inlineStr">
        <is>
          <t>Puppetmaster : the secret life of J. Edgar Hoover / Richard Hack.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Hack, Richard.</t>
        </is>
      </c>
      <c r="L1047" t="inlineStr">
        <is>
          <t>Beverly Hills, CA : New Millennium Press, c2004.</t>
        </is>
      </c>
      <c r="M1047" t="inlineStr">
        <is>
          <t>2004</t>
        </is>
      </c>
      <c r="O1047" t="inlineStr">
        <is>
          <t>eng</t>
        </is>
      </c>
      <c r="P1047" t="inlineStr">
        <is>
          <t>cau</t>
        </is>
      </c>
      <c r="R1047" t="inlineStr">
        <is>
          <t xml:space="preserve">HV </t>
        </is>
      </c>
      <c r="S1047" t="n">
        <v>3</v>
      </c>
      <c r="T1047" t="n">
        <v>3</v>
      </c>
      <c r="U1047" t="inlineStr">
        <is>
          <t>2006-02-07</t>
        </is>
      </c>
      <c r="V1047" t="inlineStr">
        <is>
          <t>2006-02-07</t>
        </is>
      </c>
      <c r="W1047" t="inlineStr">
        <is>
          <t>2004-07-29</t>
        </is>
      </c>
      <c r="X1047" t="inlineStr">
        <is>
          <t>2004-07-29</t>
        </is>
      </c>
      <c r="Y1047" t="n">
        <v>912</v>
      </c>
      <c r="Z1047" t="n">
        <v>881</v>
      </c>
      <c r="AA1047" t="n">
        <v>934</v>
      </c>
      <c r="AB1047" t="n">
        <v>9</v>
      </c>
      <c r="AC1047" t="n">
        <v>9</v>
      </c>
      <c r="AD1047" t="n">
        <v>16</v>
      </c>
      <c r="AE1047" t="n">
        <v>17</v>
      </c>
      <c r="AF1047" t="n">
        <v>6</v>
      </c>
      <c r="AG1047" t="n">
        <v>6</v>
      </c>
      <c r="AH1047" t="n">
        <v>5</v>
      </c>
      <c r="AI1047" t="n">
        <v>5</v>
      </c>
      <c r="AJ1047" t="n">
        <v>6</v>
      </c>
      <c r="AK1047" t="n">
        <v>7</v>
      </c>
      <c r="AL1047" t="n">
        <v>2</v>
      </c>
      <c r="AM1047" t="n">
        <v>2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No</t>
        </is>
      </c>
      <c r="AS1047">
        <f>HYPERLINK("https://creighton-primo.hosted.exlibrisgroup.com/primo-explore/search?tab=default_tab&amp;search_scope=EVERYTHING&amp;vid=01CRU&amp;lang=en_US&amp;offset=0&amp;query=any,contains,991004288629702656","Catalog Record")</f>
        <v/>
      </c>
      <c r="AT1047">
        <f>HYPERLINK("http://www.worldcat.org/oclc/54534326","WorldCat Record")</f>
        <v/>
      </c>
      <c r="AU1047" t="inlineStr">
        <is>
          <t>799550:eng</t>
        </is>
      </c>
      <c r="AV1047" t="inlineStr">
        <is>
          <t>54534326</t>
        </is>
      </c>
      <c r="AW1047" t="inlineStr">
        <is>
          <t>991004288629702656</t>
        </is>
      </c>
      <c r="AX1047" t="inlineStr">
        <is>
          <t>991004288629702656</t>
        </is>
      </c>
      <c r="AY1047" t="inlineStr">
        <is>
          <t>2254732410002656</t>
        </is>
      </c>
      <c r="AZ1047" t="inlineStr">
        <is>
          <t>BOOK</t>
        </is>
      </c>
      <c r="BB1047" t="inlineStr">
        <is>
          <t>9781893224872</t>
        </is>
      </c>
      <c r="BC1047" t="inlineStr">
        <is>
          <t>32285004926472</t>
        </is>
      </c>
      <c r="BD1047" t="inlineStr">
        <is>
          <t>893247397</t>
        </is>
      </c>
    </row>
    <row r="1048">
      <c r="A1048" t="inlineStr">
        <is>
          <t>No</t>
        </is>
      </c>
      <c r="B1048" t="inlineStr">
        <is>
          <t>HV7911.H6 P68 1987</t>
        </is>
      </c>
      <c r="C1048" t="inlineStr">
        <is>
          <t>0                      HV 7911000H  6                  P  68          1987</t>
        </is>
      </c>
      <c r="D1048" t="inlineStr">
        <is>
          <t>Secrecy and power : the life of J. Edgar Hoover / Richard Gid Powers.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Powers, Richard Gid, 1944-</t>
        </is>
      </c>
      <c r="L1048" t="inlineStr">
        <is>
          <t>New York : Free Press ; London : Collier Macmillan, c1987.</t>
        </is>
      </c>
      <c r="M1048" t="inlineStr">
        <is>
          <t>1987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HV </t>
        </is>
      </c>
      <c r="S1048" t="n">
        <v>3</v>
      </c>
      <c r="T1048" t="n">
        <v>3</v>
      </c>
      <c r="U1048" t="inlineStr">
        <is>
          <t>2002-05-06</t>
        </is>
      </c>
      <c r="V1048" t="inlineStr">
        <is>
          <t>2002-05-06</t>
        </is>
      </c>
      <c r="W1048" t="inlineStr">
        <is>
          <t>1990-02-05</t>
        </is>
      </c>
      <c r="X1048" t="inlineStr">
        <is>
          <t>1990-02-05</t>
        </is>
      </c>
      <c r="Y1048" t="n">
        <v>2104</v>
      </c>
      <c r="Z1048" t="n">
        <v>1979</v>
      </c>
      <c r="AA1048" t="n">
        <v>2055</v>
      </c>
      <c r="AB1048" t="n">
        <v>10</v>
      </c>
      <c r="AC1048" t="n">
        <v>10</v>
      </c>
      <c r="AD1048" t="n">
        <v>56</v>
      </c>
      <c r="AE1048" t="n">
        <v>58</v>
      </c>
      <c r="AF1048" t="n">
        <v>23</v>
      </c>
      <c r="AG1048" t="n">
        <v>24</v>
      </c>
      <c r="AH1048" t="n">
        <v>10</v>
      </c>
      <c r="AI1048" t="n">
        <v>10</v>
      </c>
      <c r="AJ1048" t="n">
        <v>23</v>
      </c>
      <c r="AK1048" t="n">
        <v>23</v>
      </c>
      <c r="AL1048" t="n">
        <v>5</v>
      </c>
      <c r="AM1048" t="n">
        <v>5</v>
      </c>
      <c r="AN1048" t="n">
        <v>8</v>
      </c>
      <c r="AO1048" t="n">
        <v>9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HYPERLINK("https://creighton-primo.hosted.exlibrisgroup.com/primo-explore/search?tab=default_tab&amp;search_scope=EVERYTHING&amp;vid=01CRU&amp;lang=en_US&amp;offset=0&amp;query=any,contains,991000941719702656","Catalog Record")</f>
        <v/>
      </c>
      <c r="AT1048">
        <f>HYPERLINK("http://www.worldcat.org/oclc/14413188","WorldCat Record")</f>
        <v/>
      </c>
      <c r="AU1048" t="inlineStr">
        <is>
          <t>8360634:eng</t>
        </is>
      </c>
      <c r="AV1048" t="inlineStr">
        <is>
          <t>14413188</t>
        </is>
      </c>
      <c r="AW1048" t="inlineStr">
        <is>
          <t>991000941719702656</t>
        </is>
      </c>
      <c r="AX1048" t="inlineStr">
        <is>
          <t>991000941719702656</t>
        </is>
      </c>
      <c r="AY1048" t="inlineStr">
        <is>
          <t>2266368830002656</t>
        </is>
      </c>
      <c r="AZ1048" t="inlineStr">
        <is>
          <t>BOOK</t>
        </is>
      </c>
      <c r="BB1048" t="inlineStr">
        <is>
          <t>9780029250600</t>
        </is>
      </c>
      <c r="BC1048" t="inlineStr">
        <is>
          <t>32285000032630</t>
        </is>
      </c>
      <c r="BD1048" t="inlineStr">
        <is>
          <t>893327738</t>
        </is>
      </c>
    </row>
    <row r="1049">
      <c r="A1049" t="inlineStr">
        <is>
          <t>No</t>
        </is>
      </c>
      <c r="B1049" t="inlineStr">
        <is>
          <t>HV7911.H6 T54 1988</t>
        </is>
      </c>
      <c r="C1049" t="inlineStr">
        <is>
          <t>0                      HV 7911000H  6                  T  54          1988</t>
        </is>
      </c>
      <c r="D1049" t="inlineStr">
        <is>
          <t>The boss : J. Edgar Hoover and the great American inquisition / Athan G. Theoharis and John Stuart Cox.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Theoharis, Athan G.</t>
        </is>
      </c>
      <c r="L1049" t="inlineStr">
        <is>
          <t>Philadelphia : Temple University Press, 1988.</t>
        </is>
      </c>
      <c r="M1049" t="inlineStr">
        <is>
          <t>1988</t>
        </is>
      </c>
      <c r="O1049" t="inlineStr">
        <is>
          <t>eng</t>
        </is>
      </c>
      <c r="P1049" t="inlineStr">
        <is>
          <t>pau</t>
        </is>
      </c>
      <c r="R1049" t="inlineStr">
        <is>
          <t xml:space="preserve">HV </t>
        </is>
      </c>
      <c r="S1049" t="n">
        <v>6</v>
      </c>
      <c r="T1049" t="n">
        <v>6</v>
      </c>
      <c r="U1049" t="inlineStr">
        <is>
          <t>2006-02-07</t>
        </is>
      </c>
      <c r="V1049" t="inlineStr">
        <is>
          <t>2006-02-07</t>
        </is>
      </c>
      <c r="W1049" t="inlineStr">
        <is>
          <t>1990-02-14</t>
        </is>
      </c>
      <c r="X1049" t="inlineStr">
        <is>
          <t>1990-02-14</t>
        </is>
      </c>
      <c r="Y1049" t="n">
        <v>1520</v>
      </c>
      <c r="Z1049" t="n">
        <v>1407</v>
      </c>
      <c r="AA1049" t="n">
        <v>1438</v>
      </c>
      <c r="AB1049" t="n">
        <v>9</v>
      </c>
      <c r="AC1049" t="n">
        <v>10</v>
      </c>
      <c r="AD1049" t="n">
        <v>55</v>
      </c>
      <c r="AE1049" t="n">
        <v>56</v>
      </c>
      <c r="AF1049" t="n">
        <v>18</v>
      </c>
      <c r="AG1049" t="n">
        <v>18</v>
      </c>
      <c r="AH1049" t="n">
        <v>9</v>
      </c>
      <c r="AI1049" t="n">
        <v>9</v>
      </c>
      <c r="AJ1049" t="n">
        <v>22</v>
      </c>
      <c r="AK1049" t="n">
        <v>23</v>
      </c>
      <c r="AL1049" t="n">
        <v>8</v>
      </c>
      <c r="AM1049" t="n">
        <v>8</v>
      </c>
      <c r="AN1049" t="n">
        <v>9</v>
      </c>
      <c r="AO1049" t="n">
        <v>9</v>
      </c>
      <c r="AP1049" t="inlineStr">
        <is>
          <t>No</t>
        </is>
      </c>
      <c r="AQ1049" t="inlineStr">
        <is>
          <t>No</t>
        </is>
      </c>
      <c r="AS1049">
        <f>HYPERLINK("https://creighton-primo.hosted.exlibrisgroup.com/primo-explore/search?tab=default_tab&amp;search_scope=EVERYTHING&amp;vid=01CRU&amp;lang=en_US&amp;offset=0&amp;query=any,contains,991001144369702656","Catalog Record")</f>
        <v/>
      </c>
      <c r="AT1049">
        <f>HYPERLINK("http://www.worldcat.org/oclc/16756858","WorldCat Record")</f>
        <v/>
      </c>
      <c r="AU1049" t="inlineStr">
        <is>
          <t>13214466:eng</t>
        </is>
      </c>
      <c r="AV1049" t="inlineStr">
        <is>
          <t>16756858</t>
        </is>
      </c>
      <c r="AW1049" t="inlineStr">
        <is>
          <t>991001144369702656</t>
        </is>
      </c>
      <c r="AX1049" t="inlineStr">
        <is>
          <t>991001144369702656</t>
        </is>
      </c>
      <c r="AY1049" t="inlineStr">
        <is>
          <t>2262330570002656</t>
        </is>
      </c>
      <c r="AZ1049" t="inlineStr">
        <is>
          <t>BOOK</t>
        </is>
      </c>
      <c r="BB1049" t="inlineStr">
        <is>
          <t>9780877225324</t>
        </is>
      </c>
      <c r="BC1049" t="inlineStr">
        <is>
          <t>32285000052604</t>
        </is>
      </c>
      <c r="BD1049" t="inlineStr">
        <is>
          <t>893346286</t>
        </is>
      </c>
    </row>
    <row r="1050">
      <c r="A1050" t="inlineStr">
        <is>
          <t>No</t>
        </is>
      </c>
      <c r="B1050" t="inlineStr">
        <is>
          <t>HV7911.W426 S86 2008</t>
        </is>
      </c>
      <c r="C1050" t="inlineStr">
        <is>
          <t>0                      HV 7911000W  426                S  86          2008</t>
        </is>
      </c>
      <c r="D1050" t="inlineStr">
        <is>
          <t>The suspicions of Mr. Whicher : or, The murder at Road Hill House / by Kate Summerscale.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Summerscale, Kate, 1965-</t>
        </is>
      </c>
      <c r="L1050" t="inlineStr">
        <is>
          <t>London : Bloomsbury, 2008.</t>
        </is>
      </c>
      <c r="M1050" t="inlineStr">
        <is>
          <t>2008</t>
        </is>
      </c>
      <c r="O1050" t="inlineStr">
        <is>
          <t>eng</t>
        </is>
      </c>
      <c r="P1050" t="inlineStr">
        <is>
          <t>enk</t>
        </is>
      </c>
      <c r="R1050" t="inlineStr">
        <is>
          <t xml:space="preserve">HV </t>
        </is>
      </c>
      <c r="S1050" t="n">
        <v>3</v>
      </c>
      <c r="T1050" t="n">
        <v>3</v>
      </c>
      <c r="U1050" t="inlineStr">
        <is>
          <t>2008-10-29</t>
        </is>
      </c>
      <c r="V1050" t="inlineStr">
        <is>
          <t>2008-10-29</t>
        </is>
      </c>
      <c r="W1050" t="inlineStr">
        <is>
          <t>2008-09-24</t>
        </is>
      </c>
      <c r="X1050" t="inlineStr">
        <is>
          <t>2008-09-24</t>
        </is>
      </c>
      <c r="Y1050" t="n">
        <v>216</v>
      </c>
      <c r="Z1050" t="n">
        <v>16</v>
      </c>
      <c r="AA1050" t="n">
        <v>52</v>
      </c>
      <c r="AB1050" t="n">
        <v>1</v>
      </c>
      <c r="AC1050" t="n">
        <v>2</v>
      </c>
      <c r="AD1050" t="n">
        <v>0</v>
      </c>
      <c r="AE1050" t="n">
        <v>1</v>
      </c>
      <c r="AF1050" t="n">
        <v>0</v>
      </c>
      <c r="AG1050" t="n">
        <v>0</v>
      </c>
      <c r="AH1050" t="n">
        <v>0</v>
      </c>
      <c r="AI1050" t="n">
        <v>0</v>
      </c>
      <c r="AJ1050" t="n">
        <v>0</v>
      </c>
      <c r="AK1050" t="n">
        <v>0</v>
      </c>
      <c r="AL1050" t="n">
        <v>0</v>
      </c>
      <c r="AM1050" t="n">
        <v>1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No</t>
        </is>
      </c>
      <c r="AS1050">
        <f>HYPERLINK("https://creighton-primo.hosted.exlibrisgroup.com/primo-explore/search?tab=default_tab&amp;search_scope=EVERYTHING&amp;vid=01CRU&amp;lang=en_US&amp;offset=0&amp;query=any,contains,991005269639702656","Catalog Record")</f>
        <v/>
      </c>
      <c r="AT1050">
        <f>HYPERLINK("http://www.worldcat.org/oclc/246554929","WorldCat Record")</f>
        <v/>
      </c>
      <c r="AU1050" t="inlineStr">
        <is>
          <t>153980243:eng</t>
        </is>
      </c>
      <c r="AV1050" t="inlineStr">
        <is>
          <t>246554929</t>
        </is>
      </c>
      <c r="AW1050" t="inlineStr">
        <is>
          <t>991005269639702656</t>
        </is>
      </c>
      <c r="AX1050" t="inlineStr">
        <is>
          <t>991005269639702656</t>
        </is>
      </c>
      <c r="AY1050" t="inlineStr">
        <is>
          <t>2263223310002656</t>
        </is>
      </c>
      <c r="AZ1050" t="inlineStr">
        <is>
          <t>BOOK</t>
        </is>
      </c>
      <c r="BB1050" t="inlineStr">
        <is>
          <t>9780747582151</t>
        </is>
      </c>
      <c r="BC1050" t="inlineStr">
        <is>
          <t>32285005460042</t>
        </is>
      </c>
      <c r="BD1050" t="inlineStr">
        <is>
          <t>893520746</t>
        </is>
      </c>
    </row>
    <row r="1051">
      <c r="A1051" t="inlineStr">
        <is>
          <t>No</t>
        </is>
      </c>
      <c r="B1051" t="inlineStr">
        <is>
          <t>HV7921 .B38 1985</t>
        </is>
      </c>
      <c r="C1051" t="inlineStr">
        <is>
          <t>0                      HV 7921000B  38          1985</t>
        </is>
      </c>
      <c r="D1051" t="inlineStr">
        <is>
          <t>Patterns of policing : a comparative international analysis / David H. Bayley.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Bayley, David H.</t>
        </is>
      </c>
      <c r="L1051" t="inlineStr">
        <is>
          <t>New Brunswick, N.J. : Rutgers University Press, c1985.</t>
        </is>
      </c>
      <c r="M1051" t="inlineStr">
        <is>
          <t>1985</t>
        </is>
      </c>
      <c r="O1051" t="inlineStr">
        <is>
          <t>eng</t>
        </is>
      </c>
      <c r="P1051" t="inlineStr">
        <is>
          <t>nju</t>
        </is>
      </c>
      <c r="Q1051" t="inlineStr">
        <is>
          <t>Crime, law, and deviance series</t>
        </is>
      </c>
      <c r="R1051" t="inlineStr">
        <is>
          <t xml:space="preserve">HV </t>
        </is>
      </c>
      <c r="S1051" t="n">
        <v>4</v>
      </c>
      <c r="T1051" t="n">
        <v>4</v>
      </c>
      <c r="U1051" t="inlineStr">
        <is>
          <t>2002-04-01</t>
        </is>
      </c>
      <c r="V1051" t="inlineStr">
        <is>
          <t>2002-04-01</t>
        </is>
      </c>
      <c r="W1051" t="inlineStr">
        <is>
          <t>1992-07-14</t>
        </is>
      </c>
      <c r="X1051" t="inlineStr">
        <is>
          <t>1992-07-14</t>
        </is>
      </c>
      <c r="Y1051" t="n">
        <v>512</v>
      </c>
      <c r="Z1051" t="n">
        <v>438</v>
      </c>
      <c r="AA1051" t="n">
        <v>466</v>
      </c>
      <c r="AB1051" t="n">
        <v>4</v>
      </c>
      <c r="AC1051" t="n">
        <v>4</v>
      </c>
      <c r="AD1051" t="n">
        <v>22</v>
      </c>
      <c r="AE1051" t="n">
        <v>23</v>
      </c>
      <c r="AF1051" t="n">
        <v>6</v>
      </c>
      <c r="AG1051" t="n">
        <v>7</v>
      </c>
      <c r="AH1051" t="n">
        <v>6</v>
      </c>
      <c r="AI1051" t="n">
        <v>6</v>
      </c>
      <c r="AJ1051" t="n">
        <v>9</v>
      </c>
      <c r="AK1051" t="n">
        <v>9</v>
      </c>
      <c r="AL1051" t="n">
        <v>3</v>
      </c>
      <c r="AM1051" t="n">
        <v>3</v>
      </c>
      <c r="AN1051" t="n">
        <v>2</v>
      </c>
      <c r="AO1051" t="n">
        <v>2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HYPERLINK("https://creighton-primo.hosted.exlibrisgroup.com/primo-explore/search?tab=default_tab&amp;search_scope=EVERYTHING&amp;vid=01CRU&amp;lang=en_US&amp;offset=0&amp;query=any,contains,991000529729702656","Catalog Record")</f>
        <v/>
      </c>
      <c r="AT1051">
        <f>HYPERLINK("http://www.worldcat.org/oclc/11397255","WorldCat Record")</f>
        <v/>
      </c>
      <c r="AU1051" t="inlineStr">
        <is>
          <t>4129601:eng</t>
        </is>
      </c>
      <c r="AV1051" t="inlineStr">
        <is>
          <t>11397255</t>
        </is>
      </c>
      <c r="AW1051" t="inlineStr">
        <is>
          <t>991000529729702656</t>
        </is>
      </c>
      <c r="AX1051" t="inlineStr">
        <is>
          <t>991000529729702656</t>
        </is>
      </c>
      <c r="AY1051" t="inlineStr">
        <is>
          <t>2267516360002656</t>
        </is>
      </c>
      <c r="AZ1051" t="inlineStr">
        <is>
          <t>BOOK</t>
        </is>
      </c>
      <c r="BB1051" t="inlineStr">
        <is>
          <t>9780813510941</t>
        </is>
      </c>
      <c r="BC1051" t="inlineStr">
        <is>
          <t>32285001182327</t>
        </is>
      </c>
      <c r="BD1051" t="inlineStr">
        <is>
          <t>893419551</t>
        </is>
      </c>
    </row>
    <row r="1052">
      <c r="A1052" t="inlineStr">
        <is>
          <t>No</t>
        </is>
      </c>
      <c r="B1052" t="inlineStr">
        <is>
          <t>HV7921 .B6</t>
        </is>
      </c>
      <c r="C1052" t="inlineStr">
        <is>
          <t>0                      HV 7921000B  6</t>
        </is>
      </c>
      <c r="D1052" t="inlineStr">
        <is>
          <t>The police : six sociological essays / edited by David J. Bordua.</t>
        </is>
      </c>
      <c r="F1052" t="inlineStr">
        <is>
          <t>No</t>
        </is>
      </c>
      <c r="G1052" t="inlineStr">
        <is>
          <t>1</t>
        </is>
      </c>
      <c r="H1052" t="inlineStr">
        <is>
          <t>Yes</t>
        </is>
      </c>
      <c r="I1052" t="inlineStr">
        <is>
          <t>No</t>
        </is>
      </c>
      <c r="J1052" t="inlineStr">
        <is>
          <t>0</t>
        </is>
      </c>
      <c r="K1052" t="inlineStr">
        <is>
          <t>Bordua, David J., editor.</t>
        </is>
      </c>
      <c r="L1052" t="inlineStr">
        <is>
          <t>New York : Wiley, [1967]</t>
        </is>
      </c>
      <c r="M1052" t="inlineStr">
        <is>
          <t>1967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HV </t>
        </is>
      </c>
      <c r="S1052" t="n">
        <v>1</v>
      </c>
      <c r="T1052" t="n">
        <v>2</v>
      </c>
      <c r="U1052" t="inlineStr">
        <is>
          <t>2001-11-02</t>
        </is>
      </c>
      <c r="V1052" t="inlineStr">
        <is>
          <t>2001-11-02</t>
        </is>
      </c>
      <c r="W1052" t="inlineStr">
        <is>
          <t>1994-05-11</t>
        </is>
      </c>
      <c r="X1052" t="inlineStr">
        <is>
          <t>1994-05-11</t>
        </is>
      </c>
      <c r="Y1052" t="n">
        <v>930</v>
      </c>
      <c r="Z1052" t="n">
        <v>747</v>
      </c>
      <c r="AA1052" t="n">
        <v>754</v>
      </c>
      <c r="AB1052" t="n">
        <v>12</v>
      </c>
      <c r="AC1052" t="n">
        <v>12</v>
      </c>
      <c r="AD1052" t="n">
        <v>39</v>
      </c>
      <c r="AE1052" t="n">
        <v>39</v>
      </c>
      <c r="AF1052" t="n">
        <v>14</v>
      </c>
      <c r="AG1052" t="n">
        <v>14</v>
      </c>
      <c r="AH1052" t="n">
        <v>6</v>
      </c>
      <c r="AI1052" t="n">
        <v>6</v>
      </c>
      <c r="AJ1052" t="n">
        <v>13</v>
      </c>
      <c r="AK1052" t="n">
        <v>13</v>
      </c>
      <c r="AL1052" t="n">
        <v>9</v>
      </c>
      <c r="AM1052" t="n">
        <v>9</v>
      </c>
      <c r="AN1052" t="n">
        <v>5</v>
      </c>
      <c r="AO1052" t="n">
        <v>5</v>
      </c>
      <c r="AP1052" t="inlineStr">
        <is>
          <t>No</t>
        </is>
      </c>
      <c r="AQ1052" t="inlineStr">
        <is>
          <t>No</t>
        </is>
      </c>
      <c r="AS1052">
        <f>HYPERLINK("https://creighton-primo.hosted.exlibrisgroup.com/primo-explore/search?tab=default_tab&amp;search_scope=EVERYTHING&amp;vid=01CRU&amp;lang=en_US&amp;offset=0&amp;query=any,contains,991001752809702656","Catalog Record")</f>
        <v/>
      </c>
      <c r="AT1052">
        <f>HYPERLINK("http://www.worldcat.org/oclc/2118302","WorldCat Record")</f>
        <v/>
      </c>
      <c r="AU1052" t="inlineStr">
        <is>
          <t>233121485:eng</t>
        </is>
      </c>
      <c r="AV1052" t="inlineStr">
        <is>
          <t>2118302</t>
        </is>
      </c>
      <c r="AW1052" t="inlineStr">
        <is>
          <t>991001752809702656</t>
        </is>
      </c>
      <c r="AX1052" t="inlineStr">
        <is>
          <t>991001752809702656</t>
        </is>
      </c>
      <c r="AY1052" t="inlineStr">
        <is>
          <t>2265422480002656</t>
        </is>
      </c>
      <c r="AZ1052" t="inlineStr">
        <is>
          <t>BOOK</t>
        </is>
      </c>
      <c r="BB1052" t="inlineStr">
        <is>
          <t>9780471088912</t>
        </is>
      </c>
      <c r="BC1052" t="inlineStr">
        <is>
          <t>32285001910107</t>
        </is>
      </c>
      <c r="BD1052" t="inlineStr">
        <is>
          <t>893779033</t>
        </is>
      </c>
    </row>
    <row r="1053">
      <c r="A1053" t="inlineStr">
        <is>
          <t>No</t>
        </is>
      </c>
      <c r="B1053" t="inlineStr">
        <is>
          <t>HV7921 .K56</t>
        </is>
      </c>
      <c r="C1053" t="inlineStr">
        <is>
          <t>0                      HV 7921000K  56</t>
        </is>
      </c>
      <c r="D1053" t="inlineStr">
        <is>
          <t>Policing / Adrian Kinnane.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Kinnane, Adrian.</t>
        </is>
      </c>
      <c r="L1053" t="inlineStr">
        <is>
          <t>Chicago : Nelson-Hall, c1979.</t>
        </is>
      </c>
      <c r="M1053" t="inlineStr">
        <is>
          <t>1979</t>
        </is>
      </c>
      <c r="O1053" t="inlineStr">
        <is>
          <t>eng</t>
        </is>
      </c>
      <c r="P1053" t="inlineStr">
        <is>
          <t>ilu</t>
        </is>
      </c>
      <c r="R1053" t="inlineStr">
        <is>
          <t xml:space="preserve">HV </t>
        </is>
      </c>
      <c r="S1053" t="n">
        <v>7</v>
      </c>
      <c r="T1053" t="n">
        <v>7</v>
      </c>
      <c r="U1053" t="inlineStr">
        <is>
          <t>2001-11-02</t>
        </is>
      </c>
      <c r="V1053" t="inlineStr">
        <is>
          <t>2001-11-02</t>
        </is>
      </c>
      <c r="W1053" t="inlineStr">
        <is>
          <t>1992-07-14</t>
        </is>
      </c>
      <c r="X1053" t="inlineStr">
        <is>
          <t>1992-07-14</t>
        </is>
      </c>
      <c r="Y1053" t="n">
        <v>423</v>
      </c>
      <c r="Z1053" t="n">
        <v>397</v>
      </c>
      <c r="AA1053" t="n">
        <v>399</v>
      </c>
      <c r="AB1053" t="n">
        <v>4</v>
      </c>
      <c r="AC1053" t="n">
        <v>4</v>
      </c>
      <c r="AD1053" t="n">
        <v>18</v>
      </c>
      <c r="AE1053" t="n">
        <v>18</v>
      </c>
      <c r="AF1053" t="n">
        <v>7</v>
      </c>
      <c r="AG1053" t="n">
        <v>7</v>
      </c>
      <c r="AH1053" t="n">
        <v>2</v>
      </c>
      <c r="AI1053" t="n">
        <v>2</v>
      </c>
      <c r="AJ1053" t="n">
        <v>9</v>
      </c>
      <c r="AK1053" t="n">
        <v>9</v>
      </c>
      <c r="AL1053" t="n">
        <v>3</v>
      </c>
      <c r="AM1053" t="n">
        <v>3</v>
      </c>
      <c r="AN1053" t="n">
        <v>1</v>
      </c>
      <c r="AO1053" t="n">
        <v>1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HYPERLINK("http://catalog.hathitrust.org/Record/000699380","HathiTrust Record")</f>
        <v/>
      </c>
      <c r="AS1053">
        <f>HYPERLINK("https://creighton-primo.hosted.exlibrisgroup.com/primo-explore/search?tab=default_tab&amp;search_scope=EVERYTHING&amp;vid=01CRU&amp;lang=en_US&amp;offset=0&amp;query=any,contains,991004650739702656","Catalog Record")</f>
        <v/>
      </c>
      <c r="AT1053">
        <f>HYPERLINK("http://www.worldcat.org/oclc/4493815","WorldCat Record")</f>
        <v/>
      </c>
      <c r="AU1053" t="inlineStr">
        <is>
          <t>541339:eng</t>
        </is>
      </c>
      <c r="AV1053" t="inlineStr">
        <is>
          <t>4493815</t>
        </is>
      </c>
      <c r="AW1053" t="inlineStr">
        <is>
          <t>991004650739702656</t>
        </is>
      </c>
      <c r="AX1053" t="inlineStr">
        <is>
          <t>991004650739702656</t>
        </is>
      </c>
      <c r="AY1053" t="inlineStr">
        <is>
          <t>2260903740002656</t>
        </is>
      </c>
      <c r="AZ1053" t="inlineStr">
        <is>
          <t>BOOK</t>
        </is>
      </c>
      <c r="BB1053" t="inlineStr">
        <is>
          <t>9780882293271</t>
        </is>
      </c>
      <c r="BC1053" t="inlineStr">
        <is>
          <t>32285001182335</t>
        </is>
      </c>
      <c r="BD1053" t="inlineStr">
        <is>
          <t>893442897</t>
        </is>
      </c>
    </row>
    <row r="1054">
      <c r="A1054" t="inlineStr">
        <is>
          <t>No</t>
        </is>
      </c>
      <c r="B1054" t="inlineStr">
        <is>
          <t>HV7921 .P34</t>
        </is>
      </c>
      <c r="C1054" t="inlineStr">
        <is>
          <t>0                      HV 7921000P  34</t>
        </is>
      </c>
      <c r="D1054" t="inlineStr">
        <is>
          <t>Police operations / Gwynne Peirson.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Peirson, Gwynne Walker.</t>
        </is>
      </c>
      <c r="L1054" t="inlineStr">
        <is>
          <t>Chicago : Nelson-Hall, c1976.</t>
        </is>
      </c>
      <c r="M1054" t="inlineStr">
        <is>
          <t>1976</t>
        </is>
      </c>
      <c r="O1054" t="inlineStr">
        <is>
          <t>eng</t>
        </is>
      </c>
      <c r="P1054" t="inlineStr">
        <is>
          <t>ilu</t>
        </is>
      </c>
      <c r="Q1054" t="inlineStr">
        <is>
          <t>Nelson-Hall law enforcement series</t>
        </is>
      </c>
      <c r="R1054" t="inlineStr">
        <is>
          <t xml:space="preserve">HV </t>
        </is>
      </c>
      <c r="S1054" t="n">
        <v>5</v>
      </c>
      <c r="T1054" t="n">
        <v>5</v>
      </c>
      <c r="U1054" t="inlineStr">
        <is>
          <t>2003-11-03</t>
        </is>
      </c>
      <c r="V1054" t="inlineStr">
        <is>
          <t>2003-11-03</t>
        </is>
      </c>
      <c r="W1054" t="inlineStr">
        <is>
          <t>1992-05-14</t>
        </is>
      </c>
      <c r="X1054" t="inlineStr">
        <is>
          <t>1992-05-14</t>
        </is>
      </c>
      <c r="Y1054" t="n">
        <v>295</v>
      </c>
      <c r="Z1054" t="n">
        <v>283</v>
      </c>
      <c r="AA1054" t="n">
        <v>288</v>
      </c>
      <c r="AB1054" t="n">
        <v>4</v>
      </c>
      <c r="AC1054" t="n">
        <v>4</v>
      </c>
      <c r="AD1054" t="n">
        <v>12</v>
      </c>
      <c r="AE1054" t="n">
        <v>12</v>
      </c>
      <c r="AF1054" t="n">
        <v>5</v>
      </c>
      <c r="AG1054" t="n">
        <v>5</v>
      </c>
      <c r="AH1054" t="n">
        <v>1</v>
      </c>
      <c r="AI1054" t="n">
        <v>1</v>
      </c>
      <c r="AJ1054" t="n">
        <v>4</v>
      </c>
      <c r="AK1054" t="n">
        <v>4</v>
      </c>
      <c r="AL1054" t="n">
        <v>3</v>
      </c>
      <c r="AM1054" t="n">
        <v>3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No</t>
        </is>
      </c>
      <c r="AS1054">
        <f>HYPERLINK("https://creighton-primo.hosted.exlibrisgroup.com/primo-explore/search?tab=default_tab&amp;search_scope=EVERYTHING&amp;vid=01CRU&amp;lang=en_US&amp;offset=0&amp;query=any,contains,991004148039702656","Catalog Record")</f>
        <v/>
      </c>
      <c r="AT1054">
        <f>HYPERLINK("http://www.worldcat.org/oclc/2517291","WorldCat Record")</f>
        <v/>
      </c>
      <c r="AU1054" t="inlineStr">
        <is>
          <t>2485476597:eng</t>
        </is>
      </c>
      <c r="AV1054" t="inlineStr">
        <is>
          <t>2517291</t>
        </is>
      </c>
      <c r="AW1054" t="inlineStr">
        <is>
          <t>991004148039702656</t>
        </is>
      </c>
      <c r="AX1054" t="inlineStr">
        <is>
          <t>991004148039702656</t>
        </is>
      </c>
      <c r="AY1054" t="inlineStr">
        <is>
          <t>2257698310002656</t>
        </is>
      </c>
      <c r="AZ1054" t="inlineStr">
        <is>
          <t>BOOK</t>
        </is>
      </c>
      <c r="BB1054" t="inlineStr">
        <is>
          <t>9780911012866</t>
        </is>
      </c>
      <c r="BC1054" t="inlineStr">
        <is>
          <t>32285001109726</t>
        </is>
      </c>
      <c r="BD1054" t="inlineStr">
        <is>
          <t>893353243</t>
        </is>
      </c>
    </row>
    <row r="1055">
      <c r="A1055" t="inlineStr">
        <is>
          <t>No</t>
        </is>
      </c>
      <c r="B1055" t="inlineStr">
        <is>
          <t>HV7921 .P54 1977</t>
        </is>
      </c>
      <c r="C1055" t="inlineStr">
        <is>
          <t>0                      HV 7921000P  54          1977</t>
        </is>
      </c>
      <c r="D1055" t="inlineStr">
        <is>
          <t>Police and society / edited by David H. Bayley.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L1055" t="inlineStr">
        <is>
          <t>Beverly Hills, Calif. : Sage Publications, c1977.</t>
        </is>
      </c>
      <c r="M1055" t="inlineStr">
        <is>
          <t>1977</t>
        </is>
      </c>
      <c r="O1055" t="inlineStr">
        <is>
          <t>eng</t>
        </is>
      </c>
      <c r="P1055" t="inlineStr">
        <is>
          <t>cau</t>
        </is>
      </c>
      <c r="Q1055" t="inlineStr">
        <is>
          <t>Sage focus editions ; 1</t>
        </is>
      </c>
      <c r="R1055" t="inlineStr">
        <is>
          <t xml:space="preserve">HV </t>
        </is>
      </c>
      <c r="S1055" t="n">
        <v>6</v>
      </c>
      <c r="T1055" t="n">
        <v>6</v>
      </c>
      <c r="U1055" t="inlineStr">
        <is>
          <t>2003-03-17</t>
        </is>
      </c>
      <c r="V1055" t="inlineStr">
        <is>
          <t>2003-03-17</t>
        </is>
      </c>
      <c r="W1055" t="inlineStr">
        <is>
          <t>1990-02-20</t>
        </is>
      </c>
      <c r="X1055" t="inlineStr">
        <is>
          <t>1990-02-20</t>
        </is>
      </c>
      <c r="Y1055" t="n">
        <v>396</v>
      </c>
      <c r="Z1055" t="n">
        <v>286</v>
      </c>
      <c r="AA1055" t="n">
        <v>288</v>
      </c>
      <c r="AB1055" t="n">
        <v>2</v>
      </c>
      <c r="AC1055" t="n">
        <v>2</v>
      </c>
      <c r="AD1055" t="n">
        <v>11</v>
      </c>
      <c r="AE1055" t="n">
        <v>11</v>
      </c>
      <c r="AF1055" t="n">
        <v>4</v>
      </c>
      <c r="AG1055" t="n">
        <v>4</v>
      </c>
      <c r="AH1055" t="n">
        <v>4</v>
      </c>
      <c r="AI1055" t="n">
        <v>4</v>
      </c>
      <c r="AJ1055" t="n">
        <v>6</v>
      </c>
      <c r="AK1055" t="n">
        <v>6</v>
      </c>
      <c r="AL1055" t="n">
        <v>1</v>
      </c>
      <c r="AM1055" t="n">
        <v>1</v>
      </c>
      <c r="AN1055" t="n">
        <v>1</v>
      </c>
      <c r="AO1055" t="n">
        <v>1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HYPERLINK("http://catalog.hathitrust.org/Record/000747954","HathiTrust Record")</f>
        <v/>
      </c>
      <c r="AS1055">
        <f>HYPERLINK("https://creighton-primo.hosted.exlibrisgroup.com/primo-explore/search?tab=default_tab&amp;search_scope=EVERYTHING&amp;vid=01CRU&amp;lang=en_US&amp;offset=0&amp;query=any,contains,991004399989702656","Catalog Record")</f>
        <v/>
      </c>
      <c r="AT1055">
        <f>HYPERLINK("http://www.worldcat.org/oclc/3294523","WorldCat Record")</f>
        <v/>
      </c>
      <c r="AU1055" t="inlineStr">
        <is>
          <t>365720172:eng</t>
        </is>
      </c>
      <c r="AV1055" t="inlineStr">
        <is>
          <t>3294523</t>
        </is>
      </c>
      <c r="AW1055" t="inlineStr">
        <is>
          <t>991004399989702656</t>
        </is>
      </c>
      <c r="AX1055" t="inlineStr">
        <is>
          <t>991004399989702656</t>
        </is>
      </c>
      <c r="AY1055" t="inlineStr">
        <is>
          <t>2257208760002656</t>
        </is>
      </c>
      <c r="AZ1055" t="inlineStr">
        <is>
          <t>BOOK</t>
        </is>
      </c>
      <c r="BB1055" t="inlineStr">
        <is>
          <t>9780803908628</t>
        </is>
      </c>
      <c r="BC1055" t="inlineStr">
        <is>
          <t>32285000056449</t>
        </is>
      </c>
      <c r="BD1055" t="inlineStr">
        <is>
          <t>893319175</t>
        </is>
      </c>
    </row>
    <row r="1056">
      <c r="A1056" t="inlineStr">
        <is>
          <t>No</t>
        </is>
      </c>
      <c r="B1056" t="inlineStr">
        <is>
          <t>HV7921 .P5715 1994</t>
        </is>
      </c>
      <c r="C1056" t="inlineStr">
        <is>
          <t>0                      HV 7921000P  5715        1994</t>
        </is>
      </c>
      <c r="D1056" t="inlineStr">
        <is>
          <t>Police practices : an international review / edited by Dilip K. Das.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L1056" t="inlineStr">
        <is>
          <t>Metuchen, N.J. : Scarecrow Press, 1994.</t>
        </is>
      </c>
      <c r="M1056" t="inlineStr">
        <is>
          <t>1994</t>
        </is>
      </c>
      <c r="O1056" t="inlineStr">
        <is>
          <t>eng</t>
        </is>
      </c>
      <c r="P1056" t="inlineStr">
        <is>
          <t>nju</t>
        </is>
      </c>
      <c r="R1056" t="inlineStr">
        <is>
          <t xml:space="preserve">HV </t>
        </is>
      </c>
      <c r="S1056" t="n">
        <v>4</v>
      </c>
      <c r="T1056" t="n">
        <v>4</v>
      </c>
      <c r="U1056" t="inlineStr">
        <is>
          <t>2004-03-22</t>
        </is>
      </c>
      <c r="V1056" t="inlineStr">
        <is>
          <t>2004-03-22</t>
        </is>
      </c>
      <c r="W1056" t="inlineStr">
        <is>
          <t>1995-07-05</t>
        </is>
      </c>
      <c r="X1056" t="inlineStr">
        <is>
          <t>1995-07-05</t>
        </is>
      </c>
      <c r="Y1056" t="n">
        <v>289</v>
      </c>
      <c r="Z1056" t="n">
        <v>235</v>
      </c>
      <c r="AA1056" t="n">
        <v>243</v>
      </c>
      <c r="AB1056" t="n">
        <v>3</v>
      </c>
      <c r="AC1056" t="n">
        <v>3</v>
      </c>
      <c r="AD1056" t="n">
        <v>15</v>
      </c>
      <c r="AE1056" t="n">
        <v>15</v>
      </c>
      <c r="AF1056" t="n">
        <v>5</v>
      </c>
      <c r="AG1056" t="n">
        <v>5</v>
      </c>
      <c r="AH1056" t="n">
        <v>4</v>
      </c>
      <c r="AI1056" t="n">
        <v>4</v>
      </c>
      <c r="AJ1056" t="n">
        <v>7</v>
      </c>
      <c r="AK1056" t="n">
        <v>7</v>
      </c>
      <c r="AL1056" t="n">
        <v>2</v>
      </c>
      <c r="AM1056" t="n">
        <v>2</v>
      </c>
      <c r="AN1056" t="n">
        <v>1</v>
      </c>
      <c r="AO1056" t="n">
        <v>1</v>
      </c>
      <c r="AP1056" t="inlineStr">
        <is>
          <t>No</t>
        </is>
      </c>
      <c r="AQ1056" t="inlineStr">
        <is>
          <t>Yes</t>
        </is>
      </c>
      <c r="AR1056">
        <f>HYPERLINK("http://catalog.hathitrust.org/Record/002954395","HathiTrust Record")</f>
        <v/>
      </c>
      <c r="AS1056">
        <f>HYPERLINK("https://creighton-primo.hosted.exlibrisgroup.com/primo-explore/search?tab=default_tab&amp;search_scope=EVERYTHING&amp;vid=01CRU&amp;lang=en_US&amp;offset=0&amp;query=any,contains,991002346029702656","Catalog Record")</f>
        <v/>
      </c>
      <c r="AT1056">
        <f>HYPERLINK("http://www.worldcat.org/oclc/30544790","WorldCat Record")</f>
        <v/>
      </c>
      <c r="AU1056" t="inlineStr">
        <is>
          <t>836896451:eng</t>
        </is>
      </c>
      <c r="AV1056" t="inlineStr">
        <is>
          <t>30544790</t>
        </is>
      </c>
      <c r="AW1056" t="inlineStr">
        <is>
          <t>991002346029702656</t>
        </is>
      </c>
      <c r="AX1056" t="inlineStr">
        <is>
          <t>991002346029702656</t>
        </is>
      </c>
      <c r="AY1056" t="inlineStr">
        <is>
          <t>2261688050002656</t>
        </is>
      </c>
      <c r="AZ1056" t="inlineStr">
        <is>
          <t>BOOK</t>
        </is>
      </c>
      <c r="BB1056" t="inlineStr">
        <is>
          <t>9780810829084</t>
        </is>
      </c>
      <c r="BC1056" t="inlineStr">
        <is>
          <t>32285002053501</t>
        </is>
      </c>
      <c r="BD1056" t="inlineStr">
        <is>
          <t>893786023</t>
        </is>
      </c>
    </row>
    <row r="1057">
      <c r="A1057" t="inlineStr">
        <is>
          <t>No</t>
        </is>
      </c>
      <c r="B1057" t="inlineStr">
        <is>
          <t>HV7921 .S656 2010</t>
        </is>
      </c>
      <c r="C1057" t="inlineStr">
        <is>
          <t>0                      HV 7921000S  656         2010</t>
        </is>
      </c>
      <c r="D1057" t="inlineStr">
        <is>
          <t>Spatial policing : the influence of time, space, and geography on law enforcement practices / edited by Charles E. Crawford.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L1057" t="inlineStr">
        <is>
          <t>Durham, N.C. : Carolina Academic Press, c2010.</t>
        </is>
      </c>
      <c r="M1057" t="inlineStr">
        <is>
          <t>2010</t>
        </is>
      </c>
      <c r="O1057" t="inlineStr">
        <is>
          <t>eng</t>
        </is>
      </c>
      <c r="P1057" t="inlineStr">
        <is>
          <t>ncu</t>
        </is>
      </c>
      <c r="R1057" t="inlineStr">
        <is>
          <t xml:space="preserve">HV </t>
        </is>
      </c>
      <c r="S1057" t="n">
        <v>1</v>
      </c>
      <c r="T1057" t="n">
        <v>1</v>
      </c>
      <c r="U1057" t="inlineStr">
        <is>
          <t>2010-04-15</t>
        </is>
      </c>
      <c r="V1057" t="inlineStr">
        <is>
          <t>2010-04-15</t>
        </is>
      </c>
      <c r="W1057" t="inlineStr">
        <is>
          <t>2010-04-15</t>
        </is>
      </c>
      <c r="X1057" t="inlineStr">
        <is>
          <t>2010-04-15</t>
        </is>
      </c>
      <c r="Y1057" t="n">
        <v>156</v>
      </c>
      <c r="Z1057" t="n">
        <v>129</v>
      </c>
      <c r="AA1057" t="n">
        <v>153</v>
      </c>
      <c r="AB1057" t="n">
        <v>1</v>
      </c>
      <c r="AC1057" t="n">
        <v>1</v>
      </c>
      <c r="AD1057" t="n">
        <v>4</v>
      </c>
      <c r="AE1057" t="n">
        <v>5</v>
      </c>
      <c r="AF1057" t="n">
        <v>0</v>
      </c>
      <c r="AG1057" t="n">
        <v>1</v>
      </c>
      <c r="AH1057" t="n">
        <v>1</v>
      </c>
      <c r="AI1057" t="n">
        <v>1</v>
      </c>
      <c r="AJ1057" t="n">
        <v>4</v>
      </c>
      <c r="AK1057" t="n">
        <v>4</v>
      </c>
      <c r="AL1057" t="n">
        <v>0</v>
      </c>
      <c r="AM1057" t="n">
        <v>0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HYPERLINK("http://catalog.hathitrust.org/Record/009932555","HathiTrust Record")</f>
        <v/>
      </c>
      <c r="AS1057">
        <f>HYPERLINK("https://creighton-primo.hosted.exlibrisgroup.com/primo-explore/search?tab=default_tab&amp;search_scope=EVERYTHING&amp;vid=01CRU&amp;lang=en_US&amp;offset=0&amp;query=any,contains,991005383369702656","Catalog Record")</f>
        <v/>
      </c>
      <c r="AT1057">
        <f>HYPERLINK("http://www.worldcat.org/oclc/426391201","WorldCat Record")</f>
        <v/>
      </c>
      <c r="AU1057" t="inlineStr">
        <is>
          <t>378365609:eng</t>
        </is>
      </c>
      <c r="AV1057" t="inlineStr">
        <is>
          <t>426391201</t>
        </is>
      </c>
      <c r="AW1057" t="inlineStr">
        <is>
          <t>991005383369702656</t>
        </is>
      </c>
      <c r="AX1057" t="inlineStr">
        <is>
          <t>991005383369702656</t>
        </is>
      </c>
      <c r="AY1057" t="inlineStr">
        <is>
          <t>2257274780002656</t>
        </is>
      </c>
      <c r="AZ1057" t="inlineStr">
        <is>
          <t>BOOK</t>
        </is>
      </c>
      <c r="BB1057" t="inlineStr">
        <is>
          <t>9781594605666</t>
        </is>
      </c>
      <c r="BC1057" t="inlineStr">
        <is>
          <t>32285005564520</t>
        </is>
      </c>
      <c r="BD1057" t="inlineStr">
        <is>
          <t>893345118</t>
        </is>
      </c>
    </row>
    <row r="1058">
      <c r="A1058" t="inlineStr">
        <is>
          <t>No</t>
        </is>
      </c>
      <c r="B1058" t="inlineStr">
        <is>
          <t>HV7921 .U56 1992</t>
        </is>
      </c>
      <c r="C1058" t="inlineStr">
        <is>
          <t>0                      HV 7921000U  56          1992</t>
        </is>
      </c>
      <c r="D1058" t="inlineStr">
        <is>
          <t>Understanding policing / edited by K.R.E. McCormick &amp; L.A. Visano.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L1058" t="inlineStr">
        <is>
          <t>Toronto : Canadian Scholars' Press, 1992.</t>
        </is>
      </c>
      <c r="M1058" t="inlineStr">
        <is>
          <t>1992</t>
        </is>
      </c>
      <c r="O1058" t="inlineStr">
        <is>
          <t>eng</t>
        </is>
      </c>
      <c r="P1058" t="inlineStr">
        <is>
          <t>onc</t>
        </is>
      </c>
      <c r="R1058" t="inlineStr">
        <is>
          <t xml:space="preserve">HV </t>
        </is>
      </c>
      <c r="S1058" t="n">
        <v>4</v>
      </c>
      <c r="T1058" t="n">
        <v>4</v>
      </c>
      <c r="U1058" t="inlineStr">
        <is>
          <t>2001-06-11</t>
        </is>
      </c>
      <c r="V1058" t="inlineStr">
        <is>
          <t>2001-06-11</t>
        </is>
      </c>
      <c r="W1058" t="inlineStr">
        <is>
          <t>1998-12-02</t>
        </is>
      </c>
      <c r="X1058" t="inlineStr">
        <is>
          <t>1998-12-02</t>
        </is>
      </c>
      <c r="Y1058" t="n">
        <v>85</v>
      </c>
      <c r="Z1058" t="n">
        <v>21</v>
      </c>
      <c r="AA1058" t="n">
        <v>28</v>
      </c>
      <c r="AB1058" t="n">
        <v>1</v>
      </c>
      <c r="AC1058" t="n">
        <v>1</v>
      </c>
      <c r="AD1058" t="n">
        <v>0</v>
      </c>
      <c r="AE1058" t="n">
        <v>0</v>
      </c>
      <c r="AF1058" t="n">
        <v>0</v>
      </c>
      <c r="AG1058" t="n">
        <v>0</v>
      </c>
      <c r="AH1058" t="n">
        <v>0</v>
      </c>
      <c r="AI1058" t="n">
        <v>0</v>
      </c>
      <c r="AJ1058" t="n">
        <v>0</v>
      </c>
      <c r="AK1058" t="n">
        <v>0</v>
      </c>
      <c r="AL1058" t="n">
        <v>0</v>
      </c>
      <c r="AM1058" t="n">
        <v>0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HYPERLINK("http://catalog.hathitrust.org/Record/009807522","HathiTrust Record")</f>
        <v/>
      </c>
      <c r="AS1058">
        <f>HYPERLINK("https://creighton-primo.hosted.exlibrisgroup.com/primo-explore/search?tab=default_tab&amp;search_scope=EVERYTHING&amp;vid=01CRU&amp;lang=en_US&amp;offset=0&amp;query=any,contains,991002113599702656","Catalog Record")</f>
        <v/>
      </c>
      <c r="AT1058">
        <f>HYPERLINK("http://www.worldcat.org/oclc/27072058","WorldCat Record")</f>
        <v/>
      </c>
      <c r="AU1058" t="inlineStr">
        <is>
          <t>25162944:eng</t>
        </is>
      </c>
      <c r="AV1058" t="inlineStr">
        <is>
          <t>27072058</t>
        </is>
      </c>
      <c r="AW1058" t="inlineStr">
        <is>
          <t>991002113599702656</t>
        </is>
      </c>
      <c r="AX1058" t="inlineStr">
        <is>
          <t>991002113599702656</t>
        </is>
      </c>
      <c r="AY1058" t="inlineStr">
        <is>
          <t>2271935720002656</t>
        </is>
      </c>
      <c r="AZ1058" t="inlineStr">
        <is>
          <t>BOOK</t>
        </is>
      </c>
      <c r="BB1058" t="inlineStr">
        <is>
          <t>9781551300054</t>
        </is>
      </c>
      <c r="BC1058" t="inlineStr">
        <is>
          <t>32285003493037</t>
        </is>
      </c>
      <c r="BD1058" t="inlineStr">
        <is>
          <t>893226479</t>
        </is>
      </c>
    </row>
    <row r="1059">
      <c r="A1059" t="inlineStr">
        <is>
          <t>No</t>
        </is>
      </c>
      <c r="B1059" t="inlineStr">
        <is>
          <t>HV7924 .C56 1995</t>
        </is>
      </c>
      <c r="C1059" t="inlineStr">
        <is>
          <t>0                      HV 7924000C  56          1995</t>
        </is>
      </c>
      <c r="D1059" t="inlineStr">
        <is>
          <t>Morality in criminal justice : an introduction to ethics / Daryl Close, Nicholas Meier.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Close, Daryl.</t>
        </is>
      </c>
      <c r="L1059" t="inlineStr">
        <is>
          <t>Belmont, Calif. : Wadsworth, c1995.</t>
        </is>
      </c>
      <c r="M1059" t="inlineStr">
        <is>
          <t>1995</t>
        </is>
      </c>
      <c r="O1059" t="inlineStr">
        <is>
          <t>eng</t>
        </is>
      </c>
      <c r="P1059" t="inlineStr">
        <is>
          <t>cau</t>
        </is>
      </c>
      <c r="R1059" t="inlineStr">
        <is>
          <t xml:space="preserve">HV </t>
        </is>
      </c>
      <c r="S1059" t="n">
        <v>17</v>
      </c>
      <c r="T1059" t="n">
        <v>17</v>
      </c>
      <c r="U1059" t="inlineStr">
        <is>
          <t>2000-11-28</t>
        </is>
      </c>
      <c r="V1059" t="inlineStr">
        <is>
          <t>2000-11-28</t>
        </is>
      </c>
      <c r="W1059" t="inlineStr">
        <is>
          <t>1995-03-07</t>
        </is>
      </c>
      <c r="X1059" t="inlineStr">
        <is>
          <t>1995-03-07</t>
        </is>
      </c>
      <c r="Y1059" t="n">
        <v>225</v>
      </c>
      <c r="Z1059" t="n">
        <v>181</v>
      </c>
      <c r="AA1059" t="n">
        <v>185</v>
      </c>
      <c r="AB1059" t="n">
        <v>3</v>
      </c>
      <c r="AC1059" t="n">
        <v>3</v>
      </c>
      <c r="AD1059" t="n">
        <v>10</v>
      </c>
      <c r="AE1059" t="n">
        <v>10</v>
      </c>
      <c r="AF1059" t="n">
        <v>3</v>
      </c>
      <c r="AG1059" t="n">
        <v>3</v>
      </c>
      <c r="AH1059" t="n">
        <v>1</v>
      </c>
      <c r="AI1059" t="n">
        <v>1</v>
      </c>
      <c r="AJ1059" t="n">
        <v>5</v>
      </c>
      <c r="AK1059" t="n">
        <v>5</v>
      </c>
      <c r="AL1059" t="n">
        <v>2</v>
      </c>
      <c r="AM1059" t="n">
        <v>2</v>
      </c>
      <c r="AN1059" t="n">
        <v>1</v>
      </c>
      <c r="AO1059" t="n">
        <v>1</v>
      </c>
      <c r="AP1059" t="inlineStr">
        <is>
          <t>No</t>
        </is>
      </c>
      <c r="AQ1059" t="inlineStr">
        <is>
          <t>No</t>
        </is>
      </c>
      <c r="AS1059">
        <f>HYPERLINK("https://creighton-primo.hosted.exlibrisgroup.com/primo-explore/search?tab=default_tab&amp;search_scope=EVERYTHING&amp;vid=01CRU&amp;lang=en_US&amp;offset=0&amp;query=any,contains,991002357129702656","Catalog Record")</f>
        <v/>
      </c>
      <c r="AT1059">
        <f>HYPERLINK("http://www.worldcat.org/oclc/30667404","WorldCat Record")</f>
        <v/>
      </c>
      <c r="AU1059" t="inlineStr">
        <is>
          <t>836885889:eng</t>
        </is>
      </c>
      <c r="AV1059" t="inlineStr">
        <is>
          <t>30667404</t>
        </is>
      </c>
      <c r="AW1059" t="inlineStr">
        <is>
          <t>991002357129702656</t>
        </is>
      </c>
      <c r="AX1059" t="inlineStr">
        <is>
          <t>991002357129702656</t>
        </is>
      </c>
      <c r="AY1059" t="inlineStr">
        <is>
          <t>2268218330002656</t>
        </is>
      </c>
      <c r="AZ1059" t="inlineStr">
        <is>
          <t>BOOK</t>
        </is>
      </c>
      <c r="BB1059" t="inlineStr">
        <is>
          <t>9780534221164</t>
        </is>
      </c>
      <c r="BC1059" t="inlineStr">
        <is>
          <t>32285002001344</t>
        </is>
      </c>
      <c r="BD1059" t="inlineStr">
        <is>
          <t>893433778</t>
        </is>
      </c>
    </row>
    <row r="1060">
      <c r="A1060" t="inlineStr">
        <is>
          <t>No</t>
        </is>
      </c>
      <c r="B1060" t="inlineStr">
        <is>
          <t>HV7924 .D45 1996</t>
        </is>
      </c>
      <c r="C1060" t="inlineStr">
        <is>
          <t>0                      HV 7924000D  45          1996</t>
        </is>
      </c>
      <c r="D1060" t="inlineStr">
        <is>
          <t>Character and cops : ethics in policing / Edwin J. Delattre.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Delattre, Edwin J.</t>
        </is>
      </c>
      <c r="L1060" t="inlineStr">
        <is>
          <t>Washington, DC : AEI Press, 1996.</t>
        </is>
      </c>
      <c r="M1060" t="inlineStr">
        <is>
          <t>1996</t>
        </is>
      </c>
      <c r="N1060" t="inlineStr">
        <is>
          <t>3rd ed.</t>
        </is>
      </c>
      <c r="O1060" t="inlineStr">
        <is>
          <t>eng</t>
        </is>
      </c>
      <c r="P1060" t="inlineStr">
        <is>
          <t>dcu</t>
        </is>
      </c>
      <c r="R1060" t="inlineStr">
        <is>
          <t xml:space="preserve">HV </t>
        </is>
      </c>
      <c r="S1060" t="n">
        <v>10</v>
      </c>
      <c r="T1060" t="n">
        <v>10</v>
      </c>
      <c r="U1060" t="inlineStr">
        <is>
          <t>2001-11-02</t>
        </is>
      </c>
      <c r="V1060" t="inlineStr">
        <is>
          <t>2001-11-02</t>
        </is>
      </c>
      <c r="W1060" t="inlineStr">
        <is>
          <t>1997-04-28</t>
        </is>
      </c>
      <c r="X1060" t="inlineStr">
        <is>
          <t>1997-04-28</t>
        </is>
      </c>
      <c r="Y1060" t="n">
        <v>272</v>
      </c>
      <c r="Z1060" t="n">
        <v>250</v>
      </c>
      <c r="AA1060" t="n">
        <v>1445</v>
      </c>
      <c r="AB1060" t="n">
        <v>2</v>
      </c>
      <c r="AC1060" t="n">
        <v>12</v>
      </c>
      <c r="AD1060" t="n">
        <v>13</v>
      </c>
      <c r="AE1060" t="n">
        <v>56</v>
      </c>
      <c r="AF1060" t="n">
        <v>3</v>
      </c>
      <c r="AG1060" t="n">
        <v>17</v>
      </c>
      <c r="AH1060" t="n">
        <v>4</v>
      </c>
      <c r="AI1060" t="n">
        <v>10</v>
      </c>
      <c r="AJ1060" t="n">
        <v>7</v>
      </c>
      <c r="AK1060" t="n">
        <v>19</v>
      </c>
      <c r="AL1060" t="n">
        <v>1</v>
      </c>
      <c r="AM1060" t="n">
        <v>11</v>
      </c>
      <c r="AN1060" t="n">
        <v>2</v>
      </c>
      <c r="AO1060" t="n">
        <v>7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HYPERLINK("http://catalog.hathitrust.org/Record/003091781","HathiTrust Record")</f>
        <v/>
      </c>
      <c r="AS1060">
        <f>HYPERLINK("https://creighton-primo.hosted.exlibrisgroup.com/primo-explore/search?tab=default_tab&amp;search_scope=EVERYTHING&amp;vid=01CRU&amp;lang=en_US&amp;offset=0&amp;query=any,contains,991002682749702656","Catalog Record")</f>
        <v/>
      </c>
      <c r="AT1060">
        <f>HYPERLINK("http://www.worldcat.org/oclc/35049597","WorldCat Record")</f>
        <v/>
      </c>
      <c r="AU1060" t="inlineStr">
        <is>
          <t>19495759:eng</t>
        </is>
      </c>
      <c r="AV1060" t="inlineStr">
        <is>
          <t>35049597</t>
        </is>
      </c>
      <c r="AW1060" t="inlineStr">
        <is>
          <t>991002682749702656</t>
        </is>
      </c>
      <c r="AX1060" t="inlineStr">
        <is>
          <t>991002682749702656</t>
        </is>
      </c>
      <c r="AY1060" t="inlineStr">
        <is>
          <t>2271105470002656</t>
        </is>
      </c>
      <c r="AZ1060" t="inlineStr">
        <is>
          <t>BOOK</t>
        </is>
      </c>
      <c r="BB1060" t="inlineStr">
        <is>
          <t>9780844739731</t>
        </is>
      </c>
      <c r="BC1060" t="inlineStr">
        <is>
          <t>32285002541489</t>
        </is>
      </c>
      <c r="BD1060" t="inlineStr">
        <is>
          <t>893892855</t>
        </is>
      </c>
    </row>
    <row r="1061">
      <c r="A1061" t="inlineStr">
        <is>
          <t>No</t>
        </is>
      </c>
      <c r="B1061" t="inlineStr">
        <is>
          <t>HV7924 .M34 1982</t>
        </is>
      </c>
      <c r="C1061" t="inlineStr">
        <is>
          <t>0                      HV 7924000M  34          1982</t>
        </is>
      </c>
      <c r="D1061" t="inlineStr">
        <is>
          <t>The ethics of law enforcement and criminal punishment / Edward A. Malloy.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Malloy, Edward A.</t>
        </is>
      </c>
      <c r="L1061" t="inlineStr">
        <is>
          <t>Washington, D.C. : University Press of America, c1982.</t>
        </is>
      </c>
      <c r="M1061" t="inlineStr">
        <is>
          <t>1983</t>
        </is>
      </c>
      <c r="O1061" t="inlineStr">
        <is>
          <t>eng</t>
        </is>
      </c>
      <c r="P1061" t="inlineStr">
        <is>
          <t>dcu</t>
        </is>
      </c>
      <c r="R1061" t="inlineStr">
        <is>
          <t xml:space="preserve">HV </t>
        </is>
      </c>
      <c r="S1061" t="n">
        <v>35</v>
      </c>
      <c r="T1061" t="n">
        <v>35</v>
      </c>
      <c r="U1061" t="inlineStr">
        <is>
          <t>1999-03-28</t>
        </is>
      </c>
      <c r="V1061" t="inlineStr">
        <is>
          <t>1999-03-28</t>
        </is>
      </c>
      <c r="W1061" t="inlineStr">
        <is>
          <t>1990-04-25</t>
        </is>
      </c>
      <c r="X1061" t="inlineStr">
        <is>
          <t>1990-04-25</t>
        </is>
      </c>
      <c r="Y1061" t="n">
        <v>285</v>
      </c>
      <c r="Z1061" t="n">
        <v>257</v>
      </c>
      <c r="AA1061" t="n">
        <v>299</v>
      </c>
      <c r="AB1061" t="n">
        <v>4</v>
      </c>
      <c r="AC1061" t="n">
        <v>4</v>
      </c>
      <c r="AD1061" t="n">
        <v>19</v>
      </c>
      <c r="AE1061" t="n">
        <v>20</v>
      </c>
      <c r="AF1061" t="n">
        <v>6</v>
      </c>
      <c r="AG1061" t="n">
        <v>6</v>
      </c>
      <c r="AH1061" t="n">
        <v>5</v>
      </c>
      <c r="AI1061" t="n">
        <v>5</v>
      </c>
      <c r="AJ1061" t="n">
        <v>9</v>
      </c>
      <c r="AK1061" t="n">
        <v>9</v>
      </c>
      <c r="AL1061" t="n">
        <v>2</v>
      </c>
      <c r="AM1061" t="n">
        <v>2</v>
      </c>
      <c r="AN1061" t="n">
        <v>3</v>
      </c>
      <c r="AO1061" t="n">
        <v>4</v>
      </c>
      <c r="AP1061" t="inlineStr">
        <is>
          <t>No</t>
        </is>
      </c>
      <c r="AQ1061" t="inlineStr">
        <is>
          <t>No</t>
        </is>
      </c>
      <c r="AS1061">
        <f>HYPERLINK("https://creighton-primo.hosted.exlibrisgroup.com/primo-explore/search?tab=default_tab&amp;search_scope=EVERYTHING&amp;vid=01CRU&amp;lang=en_US&amp;offset=0&amp;query=any,contains,991000087719702656","Catalog Record")</f>
        <v/>
      </c>
      <c r="AT1061">
        <f>HYPERLINK("http://www.worldcat.org/oclc/8866702","WorldCat Record")</f>
        <v/>
      </c>
      <c r="AU1061" t="inlineStr">
        <is>
          <t>3930364:eng</t>
        </is>
      </c>
      <c r="AV1061" t="inlineStr">
        <is>
          <t>8866702</t>
        </is>
      </c>
      <c r="AW1061" t="inlineStr">
        <is>
          <t>991000087719702656</t>
        </is>
      </c>
      <c r="AX1061" t="inlineStr">
        <is>
          <t>991000087719702656</t>
        </is>
      </c>
      <c r="AY1061" t="inlineStr">
        <is>
          <t>2262352490002656</t>
        </is>
      </c>
      <c r="AZ1061" t="inlineStr">
        <is>
          <t>BOOK</t>
        </is>
      </c>
      <c r="BB1061" t="inlineStr">
        <is>
          <t>9780819128430</t>
        </is>
      </c>
      <c r="BC1061" t="inlineStr">
        <is>
          <t>32285000133255</t>
        </is>
      </c>
      <c r="BD1061" t="inlineStr">
        <is>
          <t>893502218</t>
        </is>
      </c>
    </row>
    <row r="1062">
      <c r="A1062" t="inlineStr">
        <is>
          <t>No</t>
        </is>
      </c>
      <c r="B1062" t="inlineStr">
        <is>
          <t>HV7924 .M67 1985</t>
        </is>
      </c>
      <c r="C1062" t="inlineStr">
        <is>
          <t>0                      HV 7924000M  67          1985</t>
        </is>
      </c>
      <c r="D1062" t="inlineStr">
        <is>
          <t>Moral issues in police work / edited by Frederick A. Elliston and Michael Feldberg.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Totowa, N.J. : Rowman &amp; Allanheld, 1985.</t>
        </is>
      </c>
      <c r="M1062" t="inlineStr">
        <is>
          <t>1985</t>
        </is>
      </c>
      <c r="O1062" t="inlineStr">
        <is>
          <t>eng</t>
        </is>
      </c>
      <c r="P1062" t="inlineStr">
        <is>
          <t>nju</t>
        </is>
      </c>
      <c r="R1062" t="inlineStr">
        <is>
          <t xml:space="preserve">HV </t>
        </is>
      </c>
      <c r="S1062" t="n">
        <v>9</v>
      </c>
      <c r="T1062" t="n">
        <v>9</v>
      </c>
      <c r="U1062" t="inlineStr">
        <is>
          <t>1999-03-28</t>
        </is>
      </c>
      <c r="V1062" t="inlineStr">
        <is>
          <t>1999-03-28</t>
        </is>
      </c>
      <c r="W1062" t="inlineStr">
        <is>
          <t>1992-07-14</t>
        </is>
      </c>
      <c r="X1062" t="inlineStr">
        <is>
          <t>1992-07-14</t>
        </is>
      </c>
      <c r="Y1062" t="n">
        <v>506</v>
      </c>
      <c r="Z1062" t="n">
        <v>450</v>
      </c>
      <c r="AA1062" t="n">
        <v>470</v>
      </c>
      <c r="AB1062" t="n">
        <v>4</v>
      </c>
      <c r="AC1062" t="n">
        <v>5</v>
      </c>
      <c r="AD1062" t="n">
        <v>27</v>
      </c>
      <c r="AE1062" t="n">
        <v>29</v>
      </c>
      <c r="AF1062" t="n">
        <v>9</v>
      </c>
      <c r="AG1062" t="n">
        <v>10</v>
      </c>
      <c r="AH1062" t="n">
        <v>7</v>
      </c>
      <c r="AI1062" t="n">
        <v>7</v>
      </c>
      <c r="AJ1062" t="n">
        <v>15</v>
      </c>
      <c r="AK1062" t="n">
        <v>16</v>
      </c>
      <c r="AL1062" t="n">
        <v>2</v>
      </c>
      <c r="AM1062" t="n">
        <v>3</v>
      </c>
      <c r="AN1062" t="n">
        <v>2</v>
      </c>
      <c r="AO1062" t="n">
        <v>2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HYPERLINK("https://creighton-primo.hosted.exlibrisgroup.com/primo-explore/search?tab=default_tab&amp;search_scope=EVERYTHING&amp;vid=01CRU&amp;lang=en_US&amp;offset=0&amp;query=any,contains,991000519119702656","Catalog Record")</f>
        <v/>
      </c>
      <c r="AT1062">
        <f>HYPERLINK("http://www.worldcat.org/oclc/11316243","WorldCat Record")</f>
        <v/>
      </c>
      <c r="AU1062" t="inlineStr">
        <is>
          <t>352470920:eng</t>
        </is>
      </c>
      <c r="AV1062" t="inlineStr">
        <is>
          <t>11316243</t>
        </is>
      </c>
      <c r="AW1062" t="inlineStr">
        <is>
          <t>991000519119702656</t>
        </is>
      </c>
      <c r="AX1062" t="inlineStr">
        <is>
          <t>991000519119702656</t>
        </is>
      </c>
      <c r="AY1062" t="inlineStr">
        <is>
          <t>2256869790002656</t>
        </is>
      </c>
      <c r="AZ1062" t="inlineStr">
        <is>
          <t>BOOK</t>
        </is>
      </c>
      <c r="BB1062" t="inlineStr">
        <is>
          <t>9780847671922</t>
        </is>
      </c>
      <c r="BC1062" t="inlineStr">
        <is>
          <t>32285001182350</t>
        </is>
      </c>
      <c r="BD1062" t="inlineStr">
        <is>
          <t>893595618</t>
        </is>
      </c>
    </row>
    <row r="1063">
      <c r="A1063" t="inlineStr">
        <is>
          <t>No</t>
        </is>
      </c>
      <c r="B1063" t="inlineStr">
        <is>
          <t>HV7935 .P66</t>
        </is>
      </c>
      <c r="C1063" t="inlineStr">
        <is>
          <t>0                      HV 7935000P  66</t>
        </is>
      </c>
      <c r="D1063" t="inlineStr">
        <is>
          <t>Police behavior : a sociological perspective / [edited by] Richard J. Lundman.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L1063" t="inlineStr">
        <is>
          <t>New York : Oxford University Press, 1980.</t>
        </is>
      </c>
      <c r="M1063" t="inlineStr">
        <is>
          <t>1980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HV </t>
        </is>
      </c>
      <c r="S1063" t="n">
        <v>17</v>
      </c>
      <c r="T1063" t="n">
        <v>17</v>
      </c>
      <c r="U1063" t="inlineStr">
        <is>
          <t>2004-10-14</t>
        </is>
      </c>
      <c r="V1063" t="inlineStr">
        <is>
          <t>2004-10-14</t>
        </is>
      </c>
      <c r="W1063" t="inlineStr">
        <is>
          <t>1992-07-14</t>
        </is>
      </c>
      <c r="X1063" t="inlineStr">
        <is>
          <t>1992-07-14</t>
        </is>
      </c>
      <c r="Y1063" t="n">
        <v>400</v>
      </c>
      <c r="Z1063" t="n">
        <v>306</v>
      </c>
      <c r="AA1063" t="n">
        <v>307</v>
      </c>
      <c r="AB1063" t="n">
        <v>3</v>
      </c>
      <c r="AC1063" t="n">
        <v>3</v>
      </c>
      <c r="AD1063" t="n">
        <v>14</v>
      </c>
      <c r="AE1063" t="n">
        <v>14</v>
      </c>
      <c r="AF1063" t="n">
        <v>4</v>
      </c>
      <c r="AG1063" t="n">
        <v>4</v>
      </c>
      <c r="AH1063" t="n">
        <v>2</v>
      </c>
      <c r="AI1063" t="n">
        <v>2</v>
      </c>
      <c r="AJ1063" t="n">
        <v>6</v>
      </c>
      <c r="AK1063" t="n">
        <v>6</v>
      </c>
      <c r="AL1063" t="n">
        <v>2</v>
      </c>
      <c r="AM1063" t="n">
        <v>2</v>
      </c>
      <c r="AN1063" t="n">
        <v>2</v>
      </c>
      <c r="AO1063" t="n">
        <v>2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HYPERLINK("https://creighton-primo.hosted.exlibrisgroup.com/primo-explore/search?tab=default_tab&amp;search_scope=EVERYTHING&amp;vid=01CRU&amp;lang=en_US&amp;offset=0&amp;query=any,contains,991004798459702656","Catalog Record")</f>
        <v/>
      </c>
      <c r="AT1063">
        <f>HYPERLINK("http://www.worldcat.org/oclc/5196827","WorldCat Record")</f>
        <v/>
      </c>
      <c r="AU1063" t="inlineStr">
        <is>
          <t>836629533:eng</t>
        </is>
      </c>
      <c r="AV1063" t="inlineStr">
        <is>
          <t>5196827</t>
        </is>
      </c>
      <c r="AW1063" t="inlineStr">
        <is>
          <t>991004798459702656</t>
        </is>
      </c>
      <c r="AX1063" t="inlineStr">
        <is>
          <t>991004798459702656</t>
        </is>
      </c>
      <c r="AY1063" t="inlineStr">
        <is>
          <t>2258547540002656</t>
        </is>
      </c>
      <c r="AZ1063" t="inlineStr">
        <is>
          <t>BOOK</t>
        </is>
      </c>
      <c r="BB1063" t="inlineStr">
        <is>
          <t>9780195026801</t>
        </is>
      </c>
      <c r="BC1063" t="inlineStr">
        <is>
          <t>32285001182368</t>
        </is>
      </c>
      <c r="BD1063" t="inlineStr">
        <is>
          <t>893810702</t>
        </is>
      </c>
    </row>
    <row r="1064">
      <c r="A1064" t="inlineStr">
        <is>
          <t>No</t>
        </is>
      </c>
      <c r="B1064" t="inlineStr">
        <is>
          <t>HV7936.C8 D7</t>
        </is>
      </c>
      <c r="C1064" t="inlineStr">
        <is>
          <t>0                      HV 7936000C  8                  D  7</t>
        </is>
      </c>
      <c r="D1064" t="inlineStr">
        <is>
          <t>Laboratory simulation of a police communications system under stress, by Thomas E. Drabek.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Drabek, Thomas E., 1940-</t>
        </is>
      </c>
      <c r="L1064" t="inlineStr">
        <is>
          <t>Columbus, College of Administrative Science, Ohio State University, 1969.</t>
        </is>
      </c>
      <c r="M1064" t="inlineStr">
        <is>
          <t>1969</t>
        </is>
      </c>
      <c r="O1064" t="inlineStr">
        <is>
          <t>eng</t>
        </is>
      </c>
      <c r="P1064" t="inlineStr">
        <is>
          <t>ohu</t>
        </is>
      </c>
      <c r="Q1064" t="inlineStr">
        <is>
          <t>College of Administrative Science monograph ; no. D2</t>
        </is>
      </c>
      <c r="R1064" t="inlineStr">
        <is>
          <t xml:space="preserve">HV </t>
        </is>
      </c>
      <c r="S1064" t="n">
        <v>1</v>
      </c>
      <c r="T1064" t="n">
        <v>1</v>
      </c>
      <c r="U1064" t="inlineStr">
        <is>
          <t>2001-10-31</t>
        </is>
      </c>
      <c r="V1064" t="inlineStr">
        <is>
          <t>2001-10-31</t>
        </is>
      </c>
      <c r="W1064" t="inlineStr">
        <is>
          <t>1997-08-25</t>
        </is>
      </c>
      <c r="X1064" t="inlineStr">
        <is>
          <t>1997-08-25</t>
        </is>
      </c>
      <c r="Y1064" t="n">
        <v>90</v>
      </c>
      <c r="Z1064" t="n">
        <v>72</v>
      </c>
      <c r="AA1064" t="n">
        <v>76</v>
      </c>
      <c r="AB1064" t="n">
        <v>1</v>
      </c>
      <c r="AC1064" t="n">
        <v>1</v>
      </c>
      <c r="AD1064" t="n">
        <v>3</v>
      </c>
      <c r="AE1064" t="n">
        <v>3</v>
      </c>
      <c r="AF1064" t="n">
        <v>0</v>
      </c>
      <c r="AG1064" t="n">
        <v>0</v>
      </c>
      <c r="AH1064" t="n">
        <v>0</v>
      </c>
      <c r="AI1064" t="n">
        <v>0</v>
      </c>
      <c r="AJ1064" t="n">
        <v>1</v>
      </c>
      <c r="AK1064" t="n">
        <v>1</v>
      </c>
      <c r="AL1064" t="n">
        <v>0</v>
      </c>
      <c r="AM1064" t="n">
        <v>0</v>
      </c>
      <c r="AN1064" t="n">
        <v>2</v>
      </c>
      <c r="AO1064" t="n">
        <v>2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HYPERLINK("http://catalog.hathitrust.org/Record/006751149","HathiTrust Record")</f>
        <v/>
      </c>
      <c r="AS1064">
        <f>HYPERLINK("https://creighton-primo.hosted.exlibrisgroup.com/primo-explore/search?tab=default_tab&amp;search_scope=EVERYTHING&amp;vid=01CRU&amp;lang=en_US&amp;offset=0&amp;query=any,contains,991000549369702656","Catalog Record")</f>
        <v/>
      </c>
      <c r="AT1064">
        <f>HYPERLINK("http://www.worldcat.org/oclc/92258","WorldCat Record")</f>
        <v/>
      </c>
      <c r="AU1064" t="inlineStr">
        <is>
          <t>9658166061:eng</t>
        </is>
      </c>
      <c r="AV1064" t="inlineStr">
        <is>
          <t>92258</t>
        </is>
      </c>
      <c r="AW1064" t="inlineStr">
        <is>
          <t>991000549369702656</t>
        </is>
      </c>
      <c r="AX1064" t="inlineStr">
        <is>
          <t>991000549369702656</t>
        </is>
      </c>
      <c r="AY1064" t="inlineStr">
        <is>
          <t>2265126190002656</t>
        </is>
      </c>
      <c r="AZ1064" t="inlineStr">
        <is>
          <t>BOOK</t>
        </is>
      </c>
      <c r="BC1064" t="inlineStr">
        <is>
          <t>32285003158788</t>
        </is>
      </c>
      <c r="BD1064" t="inlineStr">
        <is>
          <t>893689797</t>
        </is>
      </c>
    </row>
    <row r="1065">
      <c r="A1065" t="inlineStr">
        <is>
          <t>No</t>
        </is>
      </c>
      <c r="B1065" t="inlineStr">
        <is>
          <t>HV7936.C83 C663 1998</t>
        </is>
      </c>
      <c r="C1065" t="inlineStr">
        <is>
          <t>0                      HV 7936000C  83                 C  663         1998</t>
        </is>
      </c>
      <c r="D1065" t="inlineStr">
        <is>
          <t>Community policing : a contemporary perspective / Robert Trojanowicz ... [et al.].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Cincinnati, OH : Anderson Publ., c1998.</t>
        </is>
      </c>
      <c r="M1065" t="inlineStr">
        <is>
          <t>1998</t>
        </is>
      </c>
      <c r="N1065" t="inlineStr">
        <is>
          <t>2nd ed.</t>
        </is>
      </c>
      <c r="O1065" t="inlineStr">
        <is>
          <t>eng</t>
        </is>
      </c>
      <c r="P1065" t="inlineStr">
        <is>
          <t>ohu</t>
        </is>
      </c>
      <c r="R1065" t="inlineStr">
        <is>
          <t xml:space="preserve">HV </t>
        </is>
      </c>
      <c r="S1065" t="n">
        <v>9</v>
      </c>
      <c r="T1065" t="n">
        <v>9</v>
      </c>
      <c r="U1065" t="inlineStr">
        <is>
          <t>2001-11-19</t>
        </is>
      </c>
      <c r="V1065" t="inlineStr">
        <is>
          <t>2001-11-19</t>
        </is>
      </c>
      <c r="W1065" t="inlineStr">
        <is>
          <t>1999-01-21</t>
        </is>
      </c>
      <c r="X1065" t="inlineStr">
        <is>
          <t>1999-01-21</t>
        </is>
      </c>
      <c r="Y1065" t="n">
        <v>184</v>
      </c>
      <c r="Z1065" t="n">
        <v>156</v>
      </c>
      <c r="AA1065" t="n">
        <v>376</v>
      </c>
      <c r="AB1065" t="n">
        <v>1</v>
      </c>
      <c r="AC1065" t="n">
        <v>4</v>
      </c>
      <c r="AD1065" t="n">
        <v>4</v>
      </c>
      <c r="AE1065" t="n">
        <v>13</v>
      </c>
      <c r="AF1065" t="n">
        <v>2</v>
      </c>
      <c r="AG1065" t="n">
        <v>6</v>
      </c>
      <c r="AH1065" t="n">
        <v>1</v>
      </c>
      <c r="AI1065" t="n">
        <v>1</v>
      </c>
      <c r="AJ1065" t="n">
        <v>1</v>
      </c>
      <c r="AK1065" t="n">
        <v>2</v>
      </c>
      <c r="AL1065" t="n">
        <v>0</v>
      </c>
      <c r="AM1065" t="n">
        <v>3</v>
      </c>
      <c r="AN1065" t="n">
        <v>1</v>
      </c>
      <c r="AO1065" t="n">
        <v>2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HYPERLINK("https://creighton-primo.hosted.exlibrisgroup.com/primo-explore/search?tab=default_tab&amp;search_scope=EVERYTHING&amp;vid=01CRU&amp;lang=en_US&amp;offset=0&amp;query=any,contains,991002862429702656","Catalog Record")</f>
        <v/>
      </c>
      <c r="AT1065">
        <f>HYPERLINK("http://www.worldcat.org/oclc/37725503","WorldCat Record")</f>
        <v/>
      </c>
      <c r="AU1065" t="inlineStr">
        <is>
          <t>4922057827:eng</t>
        </is>
      </c>
      <c r="AV1065" t="inlineStr">
        <is>
          <t>37725503</t>
        </is>
      </c>
      <c r="AW1065" t="inlineStr">
        <is>
          <t>991002862429702656</t>
        </is>
      </c>
      <c r="AX1065" t="inlineStr">
        <is>
          <t>991002862429702656</t>
        </is>
      </c>
      <c r="AY1065" t="inlineStr">
        <is>
          <t>2255747030002656</t>
        </is>
      </c>
      <c r="AZ1065" t="inlineStr">
        <is>
          <t>BOOK</t>
        </is>
      </c>
      <c r="BB1065" t="inlineStr">
        <is>
          <t>9780870848766</t>
        </is>
      </c>
      <c r="BC1065" t="inlineStr">
        <is>
          <t>32285003514667</t>
        </is>
      </c>
      <c r="BD1065" t="inlineStr">
        <is>
          <t>893622839</t>
        </is>
      </c>
    </row>
    <row r="1066">
      <c r="A1066" t="inlineStr">
        <is>
          <t>No</t>
        </is>
      </c>
      <c r="B1066" t="inlineStr">
        <is>
          <t>HV7936.C83 M6 1999</t>
        </is>
      </c>
      <c r="C1066" t="inlineStr">
        <is>
          <t>0                      HV 7936000C  83                 M  6           1999</t>
        </is>
      </c>
      <c r="D1066" t="inlineStr">
        <is>
          <t>Gender and community policing : walking the talk / Susan L. Miller.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Miller, Susan L.</t>
        </is>
      </c>
      <c r="L1066" t="inlineStr">
        <is>
          <t>Boston : Northeastern University Press, c1999.</t>
        </is>
      </c>
      <c r="M1066" t="inlineStr">
        <is>
          <t>1999</t>
        </is>
      </c>
      <c r="O1066" t="inlineStr">
        <is>
          <t>eng</t>
        </is>
      </c>
      <c r="P1066" t="inlineStr">
        <is>
          <t>mau</t>
        </is>
      </c>
      <c r="Q1066" t="inlineStr">
        <is>
          <t>The Northeastern series on gender, crime, and law</t>
        </is>
      </c>
      <c r="R1066" t="inlineStr">
        <is>
          <t xml:space="preserve">HV </t>
        </is>
      </c>
      <c r="S1066" t="n">
        <v>6</v>
      </c>
      <c r="T1066" t="n">
        <v>6</v>
      </c>
      <c r="U1066" t="inlineStr">
        <is>
          <t>2002-06-21</t>
        </is>
      </c>
      <c r="V1066" t="inlineStr">
        <is>
          <t>2002-06-21</t>
        </is>
      </c>
      <c r="W1066" t="inlineStr">
        <is>
          <t>2000-10-23</t>
        </is>
      </c>
      <c r="X1066" t="inlineStr">
        <is>
          <t>2000-10-23</t>
        </is>
      </c>
      <c r="Y1066" t="n">
        <v>641</v>
      </c>
      <c r="Z1066" t="n">
        <v>572</v>
      </c>
      <c r="AA1066" t="n">
        <v>585</v>
      </c>
      <c r="AB1066" t="n">
        <v>5</v>
      </c>
      <c r="AC1066" t="n">
        <v>5</v>
      </c>
      <c r="AD1066" t="n">
        <v>35</v>
      </c>
      <c r="AE1066" t="n">
        <v>35</v>
      </c>
      <c r="AF1066" t="n">
        <v>13</v>
      </c>
      <c r="AG1066" t="n">
        <v>13</v>
      </c>
      <c r="AH1066" t="n">
        <v>7</v>
      </c>
      <c r="AI1066" t="n">
        <v>7</v>
      </c>
      <c r="AJ1066" t="n">
        <v>15</v>
      </c>
      <c r="AK1066" t="n">
        <v>15</v>
      </c>
      <c r="AL1066" t="n">
        <v>4</v>
      </c>
      <c r="AM1066" t="n">
        <v>4</v>
      </c>
      <c r="AN1066" t="n">
        <v>2</v>
      </c>
      <c r="AO1066" t="n">
        <v>2</v>
      </c>
      <c r="AP1066" t="inlineStr">
        <is>
          <t>No</t>
        </is>
      </c>
      <c r="AQ1066" t="inlineStr">
        <is>
          <t>No</t>
        </is>
      </c>
      <c r="AS1066">
        <f>HYPERLINK("https://creighton-primo.hosted.exlibrisgroup.com/primo-explore/search?tab=default_tab&amp;search_scope=EVERYTHING&amp;vid=01CRU&amp;lang=en_US&amp;offset=0&amp;query=any,contains,991003283149702656","Catalog Record")</f>
        <v/>
      </c>
      <c r="AT1066">
        <f>HYPERLINK("http://www.worldcat.org/oclc/41017505","WorldCat Record")</f>
        <v/>
      </c>
      <c r="AU1066" t="inlineStr">
        <is>
          <t>905542322:eng</t>
        </is>
      </c>
      <c r="AV1066" t="inlineStr">
        <is>
          <t>41017505</t>
        </is>
      </c>
      <c r="AW1066" t="inlineStr">
        <is>
          <t>991003283149702656</t>
        </is>
      </c>
      <c r="AX1066" t="inlineStr">
        <is>
          <t>991003283149702656</t>
        </is>
      </c>
      <c r="AY1066" t="inlineStr">
        <is>
          <t>2255126890002656</t>
        </is>
      </c>
      <c r="AZ1066" t="inlineStr">
        <is>
          <t>BOOK</t>
        </is>
      </c>
      <c r="BB1066" t="inlineStr">
        <is>
          <t>9781555534134</t>
        </is>
      </c>
      <c r="BC1066" t="inlineStr">
        <is>
          <t>32285003769071</t>
        </is>
      </c>
      <c r="BD1066" t="inlineStr">
        <is>
          <t>893336332</t>
        </is>
      </c>
    </row>
    <row r="1067">
      <c r="A1067" t="inlineStr">
        <is>
          <t>No</t>
        </is>
      </c>
      <c r="B1067" t="inlineStr">
        <is>
          <t>HV7936.C85 B37 1994</t>
        </is>
      </c>
      <c r="C1067" t="inlineStr">
        <is>
          <t>0                      HV 7936000C  85                 B  37          1994</t>
        </is>
      </c>
      <c r="D1067" t="inlineStr">
        <is>
          <t>Police deviance / Thomas Barker, David L. Carter.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Barker, Thomas.</t>
        </is>
      </c>
      <c r="L1067" t="inlineStr">
        <is>
          <t>Cincinnati, Ohio : Anderson Pub. Co., c1994.</t>
        </is>
      </c>
      <c r="M1067" t="inlineStr">
        <is>
          <t>1994</t>
        </is>
      </c>
      <c r="N1067" t="inlineStr">
        <is>
          <t>3rd ed.</t>
        </is>
      </c>
      <c r="O1067" t="inlineStr">
        <is>
          <t>eng</t>
        </is>
      </c>
      <c r="P1067" t="inlineStr">
        <is>
          <t>ohu</t>
        </is>
      </c>
      <c r="R1067" t="inlineStr">
        <is>
          <t xml:space="preserve">HV </t>
        </is>
      </c>
      <c r="S1067" t="n">
        <v>6</v>
      </c>
      <c r="T1067" t="n">
        <v>6</v>
      </c>
      <c r="U1067" t="inlineStr">
        <is>
          <t>2005-10-24</t>
        </is>
      </c>
      <c r="V1067" t="inlineStr">
        <is>
          <t>2005-10-24</t>
        </is>
      </c>
      <c r="W1067" t="inlineStr">
        <is>
          <t>1999-01-21</t>
        </is>
      </c>
      <c r="X1067" t="inlineStr">
        <is>
          <t>1999-01-21</t>
        </is>
      </c>
      <c r="Y1067" t="n">
        <v>181</v>
      </c>
      <c r="Z1067" t="n">
        <v>150</v>
      </c>
      <c r="AA1067" t="n">
        <v>375</v>
      </c>
      <c r="AB1067" t="n">
        <v>2</v>
      </c>
      <c r="AC1067" t="n">
        <v>5</v>
      </c>
      <c r="AD1067" t="n">
        <v>5</v>
      </c>
      <c r="AE1067" t="n">
        <v>19</v>
      </c>
      <c r="AF1067" t="n">
        <v>2</v>
      </c>
      <c r="AG1067" t="n">
        <v>9</v>
      </c>
      <c r="AH1067" t="n">
        <v>1</v>
      </c>
      <c r="AI1067" t="n">
        <v>3</v>
      </c>
      <c r="AJ1067" t="n">
        <v>2</v>
      </c>
      <c r="AK1067" t="n">
        <v>8</v>
      </c>
      <c r="AL1067" t="n">
        <v>1</v>
      </c>
      <c r="AM1067" t="n">
        <v>4</v>
      </c>
      <c r="AN1067" t="n">
        <v>0</v>
      </c>
      <c r="AO1067" t="n">
        <v>1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HYPERLINK("https://creighton-primo.hosted.exlibrisgroup.com/primo-explore/search?tab=default_tab&amp;search_scope=EVERYTHING&amp;vid=01CRU&amp;lang=en_US&amp;offset=0&amp;query=any,contains,991002292619702656","Catalog Record")</f>
        <v/>
      </c>
      <c r="AT1067">
        <f>HYPERLINK("http://www.worldcat.org/oclc/29704889","WorldCat Record")</f>
        <v/>
      </c>
      <c r="AU1067" t="inlineStr">
        <is>
          <t>24545694:eng</t>
        </is>
      </c>
      <c r="AV1067" t="inlineStr">
        <is>
          <t>29704889</t>
        </is>
      </c>
      <c r="AW1067" t="inlineStr">
        <is>
          <t>991002292619702656</t>
        </is>
      </c>
      <c r="AX1067" t="inlineStr">
        <is>
          <t>991002292619702656</t>
        </is>
      </c>
      <c r="AY1067" t="inlineStr">
        <is>
          <t>2260269900002656</t>
        </is>
      </c>
      <c r="AZ1067" t="inlineStr">
        <is>
          <t>BOOK</t>
        </is>
      </c>
      <c r="BB1067" t="inlineStr">
        <is>
          <t>9780870847141</t>
        </is>
      </c>
      <c r="BC1067" t="inlineStr">
        <is>
          <t>32285003514618</t>
        </is>
      </c>
      <c r="BD1067" t="inlineStr">
        <is>
          <t>893716277</t>
        </is>
      </c>
    </row>
    <row r="1068">
      <c r="A1068" t="inlineStr">
        <is>
          <t>No</t>
        </is>
      </c>
      <c r="B1068" t="inlineStr">
        <is>
          <t>HV7936.C85 P86 1985</t>
        </is>
      </c>
      <c r="C1068" t="inlineStr">
        <is>
          <t>0                      HV 7936000C  85                 P  86          1985</t>
        </is>
      </c>
      <c r="D1068" t="inlineStr">
        <is>
          <t>Conduct unbecoming : the social construction of police deviance and control / Maurice Punch.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Punch, Maurice.</t>
        </is>
      </c>
      <c r="L1068" t="inlineStr">
        <is>
          <t>London ; New York : Tavistock Publications, 1985.</t>
        </is>
      </c>
      <c r="M1068" t="inlineStr">
        <is>
          <t>1985</t>
        </is>
      </c>
      <c r="O1068" t="inlineStr">
        <is>
          <t>eng</t>
        </is>
      </c>
      <c r="P1068" t="inlineStr">
        <is>
          <t>enk</t>
        </is>
      </c>
      <c r="Q1068" t="inlineStr">
        <is>
          <t>SSP ; 298</t>
        </is>
      </c>
      <c r="R1068" t="inlineStr">
        <is>
          <t xml:space="preserve">HV </t>
        </is>
      </c>
      <c r="S1068" t="n">
        <v>17</v>
      </c>
      <c r="T1068" t="n">
        <v>17</v>
      </c>
      <c r="U1068" t="inlineStr">
        <is>
          <t>2005-10-24</t>
        </is>
      </c>
      <c r="V1068" t="inlineStr">
        <is>
          <t>2005-10-24</t>
        </is>
      </c>
      <c r="W1068" t="inlineStr">
        <is>
          <t>1992-07-14</t>
        </is>
      </c>
      <c r="X1068" t="inlineStr">
        <is>
          <t>1992-07-14</t>
        </is>
      </c>
      <c r="Y1068" t="n">
        <v>455</v>
      </c>
      <c r="Z1068" t="n">
        <v>325</v>
      </c>
      <c r="AA1068" t="n">
        <v>329</v>
      </c>
      <c r="AB1068" t="n">
        <v>3</v>
      </c>
      <c r="AC1068" t="n">
        <v>3</v>
      </c>
      <c r="AD1068" t="n">
        <v>14</v>
      </c>
      <c r="AE1068" t="n">
        <v>14</v>
      </c>
      <c r="AF1068" t="n">
        <v>2</v>
      </c>
      <c r="AG1068" t="n">
        <v>2</v>
      </c>
      <c r="AH1068" t="n">
        <v>5</v>
      </c>
      <c r="AI1068" t="n">
        <v>5</v>
      </c>
      <c r="AJ1068" t="n">
        <v>7</v>
      </c>
      <c r="AK1068" t="n">
        <v>7</v>
      </c>
      <c r="AL1068" t="n">
        <v>2</v>
      </c>
      <c r="AM1068" t="n">
        <v>2</v>
      </c>
      <c r="AN1068" t="n">
        <v>1</v>
      </c>
      <c r="AO1068" t="n">
        <v>1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HYPERLINK("https://creighton-primo.hosted.exlibrisgroup.com/primo-explore/search?tab=default_tab&amp;search_scope=EVERYTHING&amp;vid=01CRU&amp;lang=en_US&amp;offset=0&amp;query=any,contains,991000636529702656","Catalog Record")</f>
        <v/>
      </c>
      <c r="AT1068">
        <f>HYPERLINK("http://www.worldcat.org/oclc/12081644","WorldCat Record")</f>
        <v/>
      </c>
      <c r="AU1068" t="inlineStr">
        <is>
          <t>312651143:eng</t>
        </is>
      </c>
      <c r="AV1068" t="inlineStr">
        <is>
          <t>12081644</t>
        </is>
      </c>
      <c r="AW1068" t="inlineStr">
        <is>
          <t>991000636529702656</t>
        </is>
      </c>
      <c r="AX1068" t="inlineStr">
        <is>
          <t>991000636529702656</t>
        </is>
      </c>
      <c r="AY1068" t="inlineStr">
        <is>
          <t>2264294520002656</t>
        </is>
      </c>
      <c r="AZ1068" t="inlineStr">
        <is>
          <t>BOOK</t>
        </is>
      </c>
      <c r="BB1068" t="inlineStr">
        <is>
          <t>9780422792103</t>
        </is>
      </c>
      <c r="BC1068" t="inlineStr">
        <is>
          <t>32285001182376</t>
        </is>
      </c>
      <c r="BD1068" t="inlineStr">
        <is>
          <t>893878221</t>
        </is>
      </c>
    </row>
    <row r="1069">
      <c r="A1069" t="inlineStr">
        <is>
          <t>No</t>
        </is>
      </c>
      <c r="B1069" t="inlineStr">
        <is>
          <t>HV7936.D54 B76 1988</t>
        </is>
      </c>
      <c r="C1069" t="inlineStr">
        <is>
          <t>0                      HV 7936000D  54                 B  76          1988</t>
        </is>
      </c>
      <c r="D1069" t="inlineStr">
        <is>
          <t>Working the street : police discretion and the dilemmas of reform / Michael K. Brown.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K1069" t="inlineStr">
        <is>
          <t>Brown, Michael K.</t>
        </is>
      </c>
      <c r="L1069" t="inlineStr">
        <is>
          <t>New York : Russell Sage Foundation, 1988.</t>
        </is>
      </c>
      <c r="M1069" t="inlineStr">
        <is>
          <t>1988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HV </t>
        </is>
      </c>
      <c r="S1069" t="n">
        <v>10</v>
      </c>
      <c r="T1069" t="n">
        <v>10</v>
      </c>
      <c r="U1069" t="inlineStr">
        <is>
          <t>2001-02-19</t>
        </is>
      </c>
      <c r="V1069" t="inlineStr">
        <is>
          <t>2001-02-19</t>
        </is>
      </c>
      <c r="W1069" t="inlineStr">
        <is>
          <t>1992-07-14</t>
        </is>
      </c>
      <c r="X1069" t="inlineStr">
        <is>
          <t>1992-07-14</t>
        </is>
      </c>
      <c r="Y1069" t="n">
        <v>162</v>
      </c>
      <c r="Z1069" t="n">
        <v>137</v>
      </c>
      <c r="AA1069" t="n">
        <v>723</v>
      </c>
      <c r="AB1069" t="n">
        <v>3</v>
      </c>
      <c r="AC1069" t="n">
        <v>5</v>
      </c>
      <c r="AD1069" t="n">
        <v>9</v>
      </c>
      <c r="AE1069" t="n">
        <v>36</v>
      </c>
      <c r="AF1069" t="n">
        <v>3</v>
      </c>
      <c r="AG1069" t="n">
        <v>17</v>
      </c>
      <c r="AH1069" t="n">
        <v>1</v>
      </c>
      <c r="AI1069" t="n">
        <v>6</v>
      </c>
      <c r="AJ1069" t="n">
        <v>2</v>
      </c>
      <c r="AK1069" t="n">
        <v>13</v>
      </c>
      <c r="AL1069" t="n">
        <v>2</v>
      </c>
      <c r="AM1069" t="n">
        <v>3</v>
      </c>
      <c r="AN1069" t="n">
        <v>2</v>
      </c>
      <c r="AO1069" t="n">
        <v>6</v>
      </c>
      <c r="AP1069" t="inlineStr">
        <is>
          <t>No</t>
        </is>
      </c>
      <c r="AQ1069" t="inlineStr">
        <is>
          <t>No</t>
        </is>
      </c>
      <c r="AS1069">
        <f>HYPERLINK("https://creighton-primo.hosted.exlibrisgroup.com/primo-explore/search?tab=default_tab&amp;search_scope=EVERYTHING&amp;vid=01CRU&amp;lang=en_US&amp;offset=0&amp;query=any,contains,991001314469702656","Catalog Record")</f>
        <v/>
      </c>
      <c r="AT1069">
        <f>HYPERLINK("http://www.worldcat.org/oclc/18165672","WorldCat Record")</f>
        <v/>
      </c>
      <c r="AU1069" t="inlineStr">
        <is>
          <t>16580085:eng</t>
        </is>
      </c>
      <c r="AV1069" t="inlineStr">
        <is>
          <t>18165672</t>
        </is>
      </c>
      <c r="AW1069" t="inlineStr">
        <is>
          <t>991001314469702656</t>
        </is>
      </c>
      <c r="AX1069" t="inlineStr">
        <is>
          <t>991001314469702656</t>
        </is>
      </c>
      <c r="AY1069" t="inlineStr">
        <is>
          <t>2262314060002656</t>
        </is>
      </c>
      <c r="AZ1069" t="inlineStr">
        <is>
          <t>BOOK</t>
        </is>
      </c>
      <c r="BB1069" t="inlineStr">
        <is>
          <t>9780871541918</t>
        </is>
      </c>
      <c r="BC1069" t="inlineStr">
        <is>
          <t>32285001182400</t>
        </is>
      </c>
      <c r="BD1069" t="inlineStr">
        <is>
          <t>893231902</t>
        </is>
      </c>
    </row>
    <row r="1070">
      <c r="A1070" t="inlineStr">
        <is>
          <t>No</t>
        </is>
      </c>
      <c r="B1070" t="inlineStr">
        <is>
          <t>HV7936.P75 P79 1983</t>
        </is>
      </c>
      <c r="C1070" t="inlineStr">
        <is>
          <t>0                      HV 7936000P  75                 P  79          1983</t>
        </is>
      </c>
      <c r="D1070" t="inlineStr">
        <is>
          <t>Psychology for police officers / Ray Bull ... [et al.].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L1070" t="inlineStr">
        <is>
          <t>Chichester ; New York : Wiley, c1983.</t>
        </is>
      </c>
      <c r="M1070" t="inlineStr">
        <is>
          <t>1983</t>
        </is>
      </c>
      <c r="O1070" t="inlineStr">
        <is>
          <t>eng</t>
        </is>
      </c>
      <c r="P1070" t="inlineStr">
        <is>
          <t>enk</t>
        </is>
      </c>
      <c r="R1070" t="inlineStr">
        <is>
          <t xml:space="preserve">HV </t>
        </is>
      </c>
      <c r="S1070" t="n">
        <v>18</v>
      </c>
      <c r="T1070" t="n">
        <v>18</v>
      </c>
      <c r="U1070" t="inlineStr">
        <is>
          <t>2001-11-02</t>
        </is>
      </c>
      <c r="V1070" t="inlineStr">
        <is>
          <t>2001-11-02</t>
        </is>
      </c>
      <c r="W1070" t="inlineStr">
        <is>
          <t>1992-07-14</t>
        </is>
      </c>
      <c r="X1070" t="inlineStr">
        <is>
          <t>1992-07-14</t>
        </is>
      </c>
      <c r="Y1070" t="n">
        <v>220</v>
      </c>
      <c r="Z1070" t="n">
        <v>163</v>
      </c>
      <c r="AA1070" t="n">
        <v>163</v>
      </c>
      <c r="AB1070" t="n">
        <v>2</v>
      </c>
      <c r="AC1070" t="n">
        <v>2</v>
      </c>
      <c r="AD1070" t="n">
        <v>5</v>
      </c>
      <c r="AE1070" t="n">
        <v>5</v>
      </c>
      <c r="AF1070" t="n">
        <v>2</v>
      </c>
      <c r="AG1070" t="n">
        <v>2</v>
      </c>
      <c r="AH1070" t="n">
        <v>2</v>
      </c>
      <c r="AI1070" t="n">
        <v>2</v>
      </c>
      <c r="AJ1070" t="n">
        <v>3</v>
      </c>
      <c r="AK1070" t="n">
        <v>3</v>
      </c>
      <c r="AL1070" t="n">
        <v>1</v>
      </c>
      <c r="AM1070" t="n">
        <v>1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HYPERLINK("https://creighton-primo.hosted.exlibrisgroup.com/primo-explore/search?tab=default_tab&amp;search_scope=EVERYTHING&amp;vid=01CRU&amp;lang=en_US&amp;offset=0&amp;query=any,contains,991000205119702656","Catalog Record")</f>
        <v/>
      </c>
      <c r="AT1070">
        <f>HYPERLINK("http://www.worldcat.org/oclc/9488675","WorldCat Record")</f>
        <v/>
      </c>
      <c r="AU1070" t="inlineStr">
        <is>
          <t>42858836:eng</t>
        </is>
      </c>
      <c r="AV1070" t="inlineStr">
        <is>
          <t>9488675</t>
        </is>
      </c>
      <c r="AW1070" t="inlineStr">
        <is>
          <t>991000205119702656</t>
        </is>
      </c>
      <c r="AX1070" t="inlineStr">
        <is>
          <t>991000205119702656</t>
        </is>
      </c>
      <c r="AY1070" t="inlineStr">
        <is>
          <t>2259139480002656</t>
        </is>
      </c>
      <c r="AZ1070" t="inlineStr">
        <is>
          <t>BOOK</t>
        </is>
      </c>
      <c r="BB1070" t="inlineStr">
        <is>
          <t>9780471901945</t>
        </is>
      </c>
      <c r="BC1070" t="inlineStr">
        <is>
          <t>32285001182418</t>
        </is>
      </c>
      <c r="BD1070" t="inlineStr">
        <is>
          <t>893224830</t>
        </is>
      </c>
    </row>
    <row r="1071">
      <c r="A1071" t="inlineStr">
        <is>
          <t>No</t>
        </is>
      </c>
      <c r="B1071" t="inlineStr">
        <is>
          <t>HV7936.R3 G56 2009</t>
        </is>
      </c>
      <c r="C1071" t="inlineStr">
        <is>
          <t>0                      HV 7936000R  3                  G  56          2009</t>
        </is>
      </c>
      <c r="D1071" t="inlineStr">
        <is>
          <t>Racial profiling : research, racism, and resistance / Karen S. Glover.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Glover, Karen S., 1964-</t>
        </is>
      </c>
      <c r="L1071" t="inlineStr">
        <is>
          <t>Lanham, Md. : Rowman &amp; Littlefield, c2009.</t>
        </is>
      </c>
      <c r="M1071" t="inlineStr">
        <is>
          <t>2009</t>
        </is>
      </c>
      <c r="O1071" t="inlineStr">
        <is>
          <t>eng</t>
        </is>
      </c>
      <c r="P1071" t="inlineStr">
        <is>
          <t>mdu</t>
        </is>
      </c>
      <c r="Q1071" t="inlineStr">
        <is>
          <t>Issues in crime &amp; justice</t>
        </is>
      </c>
      <c r="R1071" t="inlineStr">
        <is>
          <t xml:space="preserve">HV </t>
        </is>
      </c>
      <c r="S1071" t="n">
        <v>1</v>
      </c>
      <c r="T1071" t="n">
        <v>1</v>
      </c>
      <c r="U1071" t="inlineStr">
        <is>
          <t>2010-08-16</t>
        </is>
      </c>
      <c r="V1071" t="inlineStr">
        <is>
          <t>2010-08-16</t>
        </is>
      </c>
      <c r="W1071" t="inlineStr">
        <is>
          <t>2010-08-16</t>
        </is>
      </c>
      <c r="X1071" t="inlineStr">
        <is>
          <t>2010-08-16</t>
        </is>
      </c>
      <c r="Y1071" t="n">
        <v>743</v>
      </c>
      <c r="Z1071" t="n">
        <v>700</v>
      </c>
      <c r="AA1071" t="n">
        <v>794</v>
      </c>
      <c r="AB1071" t="n">
        <v>5</v>
      </c>
      <c r="AC1071" t="n">
        <v>5</v>
      </c>
      <c r="AD1071" t="n">
        <v>32</v>
      </c>
      <c r="AE1071" t="n">
        <v>34</v>
      </c>
      <c r="AF1071" t="n">
        <v>11</v>
      </c>
      <c r="AG1071" t="n">
        <v>12</v>
      </c>
      <c r="AH1071" t="n">
        <v>5</v>
      </c>
      <c r="AI1071" t="n">
        <v>6</v>
      </c>
      <c r="AJ1071" t="n">
        <v>16</v>
      </c>
      <c r="AK1071" t="n">
        <v>17</v>
      </c>
      <c r="AL1071" t="n">
        <v>4</v>
      </c>
      <c r="AM1071" t="n">
        <v>4</v>
      </c>
      <c r="AN1071" t="n">
        <v>3</v>
      </c>
      <c r="AO1071" t="n">
        <v>3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HYPERLINK("https://creighton-primo.hosted.exlibrisgroup.com/primo-explore/search?tab=default_tab&amp;search_scope=EVERYTHING&amp;vid=01CRU&amp;lang=en_US&amp;offset=0&amp;query=any,contains,991000044739702656","Catalog Record")</f>
        <v/>
      </c>
      <c r="AT1071">
        <f>HYPERLINK("http://www.worldcat.org/oclc/305419658","WorldCat Record")</f>
        <v/>
      </c>
      <c r="AU1071" t="inlineStr">
        <is>
          <t>801769698:eng</t>
        </is>
      </c>
      <c r="AV1071" t="inlineStr">
        <is>
          <t>305419658</t>
        </is>
      </c>
      <c r="AW1071" t="inlineStr">
        <is>
          <t>991000044739702656</t>
        </is>
      </c>
      <c r="AX1071" t="inlineStr">
        <is>
          <t>991000044739702656</t>
        </is>
      </c>
      <c r="AY1071" t="inlineStr">
        <is>
          <t>2263180550002656</t>
        </is>
      </c>
      <c r="AZ1071" t="inlineStr">
        <is>
          <t>BOOK</t>
        </is>
      </c>
      <c r="BB1071" t="inlineStr">
        <is>
          <t>9780742561052</t>
        </is>
      </c>
      <c r="BC1071" t="inlineStr">
        <is>
          <t>32285005592612</t>
        </is>
      </c>
      <c r="BD1071" t="inlineStr">
        <is>
          <t>893249023</t>
        </is>
      </c>
    </row>
    <row r="1072">
      <c r="A1072" t="inlineStr">
        <is>
          <t>No</t>
        </is>
      </c>
      <c r="B1072" t="inlineStr">
        <is>
          <t>HV7936.R3 H65 2004</t>
        </is>
      </c>
      <c r="C1072" t="inlineStr">
        <is>
          <t>0                      HV 7936000R  3                  H  65          2004</t>
        </is>
      </c>
      <c r="D1072" t="inlineStr">
        <is>
          <t>The color of guilt &amp; innocence : racial profiling and police practices in America / Steve Holbert &amp; Lisa Rose.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Holbert, Steve.</t>
        </is>
      </c>
      <c r="L1072" t="inlineStr">
        <is>
          <t>San Ramon, Calif. : Page Marque Press, c2004.</t>
        </is>
      </c>
      <c r="M1072" t="inlineStr">
        <is>
          <t>2004</t>
        </is>
      </c>
      <c r="O1072" t="inlineStr">
        <is>
          <t>eng</t>
        </is>
      </c>
      <c r="P1072" t="inlineStr">
        <is>
          <t>cau</t>
        </is>
      </c>
      <c r="R1072" t="inlineStr">
        <is>
          <t xml:space="preserve">HV </t>
        </is>
      </c>
      <c r="S1072" t="n">
        <v>4</v>
      </c>
      <c r="T1072" t="n">
        <v>4</v>
      </c>
      <c r="U1072" t="inlineStr">
        <is>
          <t>2007-03-29</t>
        </is>
      </c>
      <c r="V1072" t="inlineStr">
        <is>
          <t>2007-03-29</t>
        </is>
      </c>
      <c r="W1072" t="inlineStr">
        <is>
          <t>2006-01-19</t>
        </is>
      </c>
      <c r="X1072" t="inlineStr">
        <is>
          <t>2006-01-19</t>
        </is>
      </c>
      <c r="Y1072" t="n">
        <v>746</v>
      </c>
      <c r="Z1072" t="n">
        <v>721</v>
      </c>
      <c r="AA1072" t="n">
        <v>739</v>
      </c>
      <c r="AB1072" t="n">
        <v>5</v>
      </c>
      <c r="AC1072" t="n">
        <v>5</v>
      </c>
      <c r="AD1072" t="n">
        <v>20</v>
      </c>
      <c r="AE1072" t="n">
        <v>20</v>
      </c>
      <c r="AF1072" t="n">
        <v>7</v>
      </c>
      <c r="AG1072" t="n">
        <v>7</v>
      </c>
      <c r="AH1072" t="n">
        <v>5</v>
      </c>
      <c r="AI1072" t="n">
        <v>5</v>
      </c>
      <c r="AJ1072" t="n">
        <v>7</v>
      </c>
      <c r="AK1072" t="n">
        <v>7</v>
      </c>
      <c r="AL1072" t="n">
        <v>4</v>
      </c>
      <c r="AM1072" t="n">
        <v>4</v>
      </c>
      <c r="AN1072" t="n">
        <v>1</v>
      </c>
      <c r="AO1072" t="n">
        <v>1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HYPERLINK("http://catalog.hathitrust.org/Record/005080694","HathiTrust Record")</f>
        <v/>
      </c>
      <c r="AS1072">
        <f>HYPERLINK("https://creighton-primo.hosted.exlibrisgroup.com/primo-explore/search?tab=default_tab&amp;search_scope=EVERYTHING&amp;vid=01CRU&amp;lang=en_US&amp;offset=0&amp;query=any,contains,991004700599702656","Catalog Record")</f>
        <v/>
      </c>
      <c r="AT1072">
        <f>HYPERLINK("http://www.worldcat.org/oclc/56477728","WorldCat Record")</f>
        <v/>
      </c>
      <c r="AU1072" t="inlineStr">
        <is>
          <t>859151:eng</t>
        </is>
      </c>
      <c r="AV1072" t="inlineStr">
        <is>
          <t>56477728</t>
        </is>
      </c>
      <c r="AW1072" t="inlineStr">
        <is>
          <t>991004700599702656</t>
        </is>
      </c>
      <c r="AX1072" t="inlineStr">
        <is>
          <t>991004700599702656</t>
        </is>
      </c>
      <c r="AY1072" t="inlineStr">
        <is>
          <t>2261895860002656</t>
        </is>
      </c>
      <c r="AZ1072" t="inlineStr">
        <is>
          <t>BOOK</t>
        </is>
      </c>
      <c r="BB1072" t="inlineStr">
        <is>
          <t>9780974664002</t>
        </is>
      </c>
      <c r="BC1072" t="inlineStr">
        <is>
          <t>32285005155865</t>
        </is>
      </c>
      <c r="BD1072" t="inlineStr">
        <is>
          <t>893889155</t>
        </is>
      </c>
    </row>
    <row r="1073">
      <c r="A1073" t="inlineStr">
        <is>
          <t>No</t>
        </is>
      </c>
      <c r="B1073" t="inlineStr">
        <is>
          <t>HV7936.R3 R325 2006</t>
        </is>
      </c>
      <c r="C1073" t="inlineStr">
        <is>
          <t>0                      HV 7936000R  3                  R  325         2006</t>
        </is>
      </c>
      <c r="D1073" t="inlineStr">
        <is>
          <t>Racial profiling / Kris Hirschmann, book editor.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L1073" t="inlineStr">
        <is>
          <t>Detroit : Greenhaven Press, c2006.</t>
        </is>
      </c>
      <c r="M1073" t="inlineStr">
        <is>
          <t>2006</t>
        </is>
      </c>
      <c r="O1073" t="inlineStr">
        <is>
          <t>eng</t>
        </is>
      </c>
      <c r="P1073" t="inlineStr">
        <is>
          <t>miu</t>
        </is>
      </c>
      <c r="Q1073" t="inlineStr">
        <is>
          <t>At issue</t>
        </is>
      </c>
      <c r="R1073" t="inlineStr">
        <is>
          <t xml:space="preserve">HV </t>
        </is>
      </c>
      <c r="S1073" t="n">
        <v>1</v>
      </c>
      <c r="T1073" t="n">
        <v>1</v>
      </c>
      <c r="U1073" t="inlineStr">
        <is>
          <t>2008-01-29</t>
        </is>
      </c>
      <c r="V1073" t="inlineStr">
        <is>
          <t>2008-01-29</t>
        </is>
      </c>
      <c r="W1073" t="inlineStr">
        <is>
          <t>2008-01-29</t>
        </is>
      </c>
      <c r="X1073" t="inlineStr">
        <is>
          <t>2008-01-29</t>
        </is>
      </c>
      <c r="Y1073" t="n">
        <v>479</v>
      </c>
      <c r="Z1073" t="n">
        <v>458</v>
      </c>
      <c r="AA1073" t="n">
        <v>705</v>
      </c>
      <c r="AB1073" t="n">
        <v>3</v>
      </c>
      <c r="AC1073" t="n">
        <v>5</v>
      </c>
      <c r="AD1073" t="n">
        <v>8</v>
      </c>
      <c r="AE1073" t="n">
        <v>18</v>
      </c>
      <c r="AF1073" t="n">
        <v>1</v>
      </c>
      <c r="AG1073" t="n">
        <v>6</v>
      </c>
      <c r="AH1073" t="n">
        <v>2</v>
      </c>
      <c r="AI1073" t="n">
        <v>4</v>
      </c>
      <c r="AJ1073" t="n">
        <v>4</v>
      </c>
      <c r="AK1073" t="n">
        <v>6</v>
      </c>
      <c r="AL1073" t="n">
        <v>2</v>
      </c>
      <c r="AM1073" t="n">
        <v>4</v>
      </c>
      <c r="AN1073" t="n">
        <v>1</v>
      </c>
      <c r="AO1073" t="n">
        <v>1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HYPERLINK("https://creighton-primo.hosted.exlibrisgroup.com/primo-explore/search?tab=default_tab&amp;search_scope=EVERYTHING&amp;vid=01CRU&amp;lang=en_US&amp;offset=0&amp;query=any,contains,991005173329702656","Catalog Record")</f>
        <v/>
      </c>
      <c r="AT1073">
        <f>HYPERLINK("http://www.worldcat.org/oclc/64596025","WorldCat Record")</f>
        <v/>
      </c>
      <c r="AU1073" t="inlineStr">
        <is>
          <t>2473985:eng</t>
        </is>
      </c>
      <c r="AV1073" t="inlineStr">
        <is>
          <t>64596025</t>
        </is>
      </c>
      <c r="AW1073" t="inlineStr">
        <is>
          <t>991005173329702656</t>
        </is>
      </c>
      <c r="AX1073" t="inlineStr">
        <is>
          <t>991005173329702656</t>
        </is>
      </c>
      <c r="AY1073" t="inlineStr">
        <is>
          <t>2271929290002656</t>
        </is>
      </c>
      <c r="AZ1073" t="inlineStr">
        <is>
          <t>BOOK</t>
        </is>
      </c>
      <c r="BB1073" t="inlineStr">
        <is>
          <t>9780737719796</t>
        </is>
      </c>
      <c r="BC1073" t="inlineStr">
        <is>
          <t>32285005390975</t>
        </is>
      </c>
      <c r="BD1073" t="inlineStr">
        <is>
          <t>893795743</t>
        </is>
      </c>
    </row>
    <row r="1074">
      <c r="A1074" t="inlineStr">
        <is>
          <t>No</t>
        </is>
      </c>
      <c r="B1074" t="inlineStr">
        <is>
          <t>HV7997 .B6</t>
        </is>
      </c>
      <c r="C1074" t="inlineStr">
        <is>
          <t>0                      HV 7997000B  6</t>
        </is>
      </c>
      <c r="D1074" t="inlineStr">
        <is>
          <t>Kids and cops; a study in mutual hostility, by Donald H. Bouma.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K1074" t="inlineStr">
        <is>
          <t>Bouma, Donald H. (Donald Herbert)</t>
        </is>
      </c>
      <c r="L1074" t="inlineStr">
        <is>
          <t>Grand Rapids, Mich. Eerdmans [1969]</t>
        </is>
      </c>
      <c r="M1074" t="inlineStr">
        <is>
          <t>1969</t>
        </is>
      </c>
      <c r="O1074" t="inlineStr">
        <is>
          <t>eng</t>
        </is>
      </c>
      <c r="P1074" t="inlineStr">
        <is>
          <t>miu</t>
        </is>
      </c>
      <c r="R1074" t="inlineStr">
        <is>
          <t xml:space="preserve">HV </t>
        </is>
      </c>
      <c r="S1074" t="n">
        <v>2</v>
      </c>
      <c r="T1074" t="n">
        <v>2</v>
      </c>
      <c r="U1074" t="inlineStr">
        <is>
          <t>1998-11-10</t>
        </is>
      </c>
      <c r="V1074" t="inlineStr">
        <is>
          <t>1998-11-10</t>
        </is>
      </c>
      <c r="W1074" t="inlineStr">
        <is>
          <t>1997-08-25</t>
        </is>
      </c>
      <c r="X1074" t="inlineStr">
        <is>
          <t>1997-08-25</t>
        </is>
      </c>
      <c r="Y1074" t="n">
        <v>566</v>
      </c>
      <c r="Z1074" t="n">
        <v>528</v>
      </c>
      <c r="AA1074" t="n">
        <v>534</v>
      </c>
      <c r="AB1074" t="n">
        <v>6</v>
      </c>
      <c r="AC1074" t="n">
        <v>6</v>
      </c>
      <c r="AD1074" t="n">
        <v>21</v>
      </c>
      <c r="AE1074" t="n">
        <v>21</v>
      </c>
      <c r="AF1074" t="n">
        <v>4</v>
      </c>
      <c r="AG1074" t="n">
        <v>4</v>
      </c>
      <c r="AH1074" t="n">
        <v>2</v>
      </c>
      <c r="AI1074" t="n">
        <v>2</v>
      </c>
      <c r="AJ1074" t="n">
        <v>10</v>
      </c>
      <c r="AK1074" t="n">
        <v>10</v>
      </c>
      <c r="AL1074" t="n">
        <v>5</v>
      </c>
      <c r="AM1074" t="n">
        <v>5</v>
      </c>
      <c r="AN1074" t="n">
        <v>2</v>
      </c>
      <c r="AO1074" t="n">
        <v>2</v>
      </c>
      <c r="AP1074" t="inlineStr">
        <is>
          <t>No</t>
        </is>
      </c>
      <c r="AQ1074" t="inlineStr">
        <is>
          <t>No</t>
        </is>
      </c>
      <c r="AS1074">
        <f>HYPERLINK("https://creighton-primo.hosted.exlibrisgroup.com/primo-explore/search?tab=default_tab&amp;search_scope=EVERYTHING&amp;vid=01CRU&amp;lang=en_US&amp;offset=0&amp;query=any,contains,991000101719702656","Catalog Record")</f>
        <v/>
      </c>
      <c r="AT1074">
        <f>HYPERLINK("http://www.worldcat.org/oclc/44829","WorldCat Record")</f>
        <v/>
      </c>
      <c r="AU1074" t="inlineStr">
        <is>
          <t>1214206:eng</t>
        </is>
      </c>
      <c r="AV1074" t="inlineStr">
        <is>
          <t>44829</t>
        </is>
      </c>
      <c r="AW1074" t="inlineStr">
        <is>
          <t>991000101719702656</t>
        </is>
      </c>
      <c r="AX1074" t="inlineStr">
        <is>
          <t>991000101719702656</t>
        </is>
      </c>
      <c r="AY1074" t="inlineStr">
        <is>
          <t>2261392490002656</t>
        </is>
      </c>
      <c r="AZ1074" t="inlineStr">
        <is>
          <t>BOOK</t>
        </is>
      </c>
      <c r="BC1074" t="inlineStr">
        <is>
          <t>32285003158796</t>
        </is>
      </c>
      <c r="BD1074" t="inlineStr">
        <is>
          <t>893345385</t>
        </is>
      </c>
    </row>
    <row r="1075">
      <c r="A1075" t="inlineStr">
        <is>
          <t>No</t>
        </is>
      </c>
      <c r="B1075" t="inlineStr">
        <is>
          <t>HV8001 .W455</t>
        </is>
      </c>
      <c r="C1075" t="inlineStr">
        <is>
          <t>0                      HV 8001000W  455</t>
        </is>
      </c>
      <c r="D1075" t="inlineStr">
        <is>
          <t>Police supervision : theory and practice / [by] Paul M. Whisenand.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K1075" t="inlineStr">
        <is>
          <t>Whisenand, Paul M.</t>
        </is>
      </c>
      <c r="L1075" t="inlineStr">
        <is>
          <t>Englewood Cliffs, N.J. : Prentice-Hall, [1971]</t>
        </is>
      </c>
      <c r="M1075" t="inlineStr">
        <is>
          <t>1971</t>
        </is>
      </c>
      <c r="O1075" t="inlineStr">
        <is>
          <t>eng</t>
        </is>
      </c>
      <c r="P1075" t="inlineStr">
        <is>
          <t>nju</t>
        </is>
      </c>
      <c r="R1075" t="inlineStr">
        <is>
          <t xml:space="preserve">HV </t>
        </is>
      </c>
      <c r="S1075" t="n">
        <v>3</v>
      </c>
      <c r="T1075" t="n">
        <v>3</v>
      </c>
      <c r="U1075" t="inlineStr">
        <is>
          <t>2002-04-07</t>
        </is>
      </c>
      <c r="V1075" t="inlineStr">
        <is>
          <t>2002-04-07</t>
        </is>
      </c>
      <c r="W1075" t="inlineStr">
        <is>
          <t>1994-04-12</t>
        </is>
      </c>
      <c r="X1075" t="inlineStr">
        <is>
          <t>1994-04-12</t>
        </is>
      </c>
      <c r="Y1075" t="n">
        <v>287</v>
      </c>
      <c r="Z1075" t="n">
        <v>246</v>
      </c>
      <c r="AA1075" t="n">
        <v>370</v>
      </c>
      <c r="AB1075" t="n">
        <v>5</v>
      </c>
      <c r="AC1075" t="n">
        <v>6</v>
      </c>
      <c r="AD1075" t="n">
        <v>10</v>
      </c>
      <c r="AE1075" t="n">
        <v>14</v>
      </c>
      <c r="AF1075" t="n">
        <v>1</v>
      </c>
      <c r="AG1075" t="n">
        <v>3</v>
      </c>
      <c r="AH1075" t="n">
        <v>2</v>
      </c>
      <c r="AI1075" t="n">
        <v>3</v>
      </c>
      <c r="AJ1075" t="n">
        <v>3</v>
      </c>
      <c r="AK1075" t="n">
        <v>3</v>
      </c>
      <c r="AL1075" t="n">
        <v>3</v>
      </c>
      <c r="AM1075" t="n">
        <v>4</v>
      </c>
      <c r="AN1075" t="n">
        <v>2</v>
      </c>
      <c r="AO1075" t="n">
        <v>2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HYPERLINK("http://catalog.hathitrust.org/Record/006750621","HathiTrust Record")</f>
        <v/>
      </c>
      <c r="AS1075">
        <f>HYPERLINK("https://creighton-primo.hosted.exlibrisgroup.com/primo-explore/search?tab=default_tab&amp;search_scope=EVERYTHING&amp;vid=01CRU&amp;lang=en_US&amp;offset=0&amp;query=any,contains,991000842769702656","Catalog Record")</f>
        <v/>
      </c>
      <c r="AT1075">
        <f>HYPERLINK("http://www.worldcat.org/oclc/148820","WorldCat Record")</f>
        <v/>
      </c>
      <c r="AU1075" t="inlineStr">
        <is>
          <t>411838:eng</t>
        </is>
      </c>
      <c r="AV1075" t="inlineStr">
        <is>
          <t>148820</t>
        </is>
      </c>
      <c r="AW1075" t="inlineStr">
        <is>
          <t>991000842769702656</t>
        </is>
      </c>
      <c r="AX1075" t="inlineStr">
        <is>
          <t>991000842769702656</t>
        </is>
      </c>
      <c r="AY1075" t="inlineStr">
        <is>
          <t>2260130720002656</t>
        </is>
      </c>
      <c r="AZ1075" t="inlineStr">
        <is>
          <t>BOOK</t>
        </is>
      </c>
      <c r="BB1075" t="inlineStr">
        <is>
          <t>9780136862468</t>
        </is>
      </c>
      <c r="BC1075" t="inlineStr">
        <is>
          <t>32285001886257</t>
        </is>
      </c>
      <c r="BD1075" t="inlineStr">
        <is>
          <t>893255786</t>
        </is>
      </c>
    </row>
    <row r="1076">
      <c r="A1076" t="inlineStr">
        <is>
          <t>No</t>
        </is>
      </c>
      <c r="B1076" t="inlineStr">
        <is>
          <t>HV8009 .G47 2001</t>
        </is>
      </c>
      <c r="C1076" t="inlineStr">
        <is>
          <t>0                      HV 8009000G  47          2001</t>
        </is>
      </c>
      <c r="D1076" t="inlineStr">
        <is>
          <t>Women and men police officers : status, gender, and personality / Gwendolyn L. Gerber.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Gerber, Gwendolyn L.</t>
        </is>
      </c>
      <c r="L1076" t="inlineStr">
        <is>
          <t>Westport, Conn. : Praeger, c2001.</t>
        </is>
      </c>
      <c r="M1076" t="inlineStr">
        <is>
          <t>2001</t>
        </is>
      </c>
      <c r="O1076" t="inlineStr">
        <is>
          <t>eng</t>
        </is>
      </c>
      <c r="P1076" t="inlineStr">
        <is>
          <t>ctu</t>
        </is>
      </c>
      <c r="R1076" t="inlineStr">
        <is>
          <t xml:space="preserve">HV </t>
        </is>
      </c>
      <c r="S1076" t="n">
        <v>2</v>
      </c>
      <c r="T1076" t="n">
        <v>2</v>
      </c>
      <c r="U1076" t="inlineStr">
        <is>
          <t>2002-01-17</t>
        </is>
      </c>
      <c r="V1076" t="inlineStr">
        <is>
          <t>2002-01-17</t>
        </is>
      </c>
      <c r="W1076" t="inlineStr">
        <is>
          <t>2001-11-14</t>
        </is>
      </c>
      <c r="X1076" t="inlineStr">
        <is>
          <t>2001-11-14</t>
        </is>
      </c>
      <c r="Y1076" t="n">
        <v>387</v>
      </c>
      <c r="Z1076" t="n">
        <v>339</v>
      </c>
      <c r="AA1076" t="n">
        <v>351</v>
      </c>
      <c r="AB1076" t="n">
        <v>2</v>
      </c>
      <c r="AC1076" t="n">
        <v>2</v>
      </c>
      <c r="AD1076" t="n">
        <v>16</v>
      </c>
      <c r="AE1076" t="n">
        <v>16</v>
      </c>
      <c r="AF1076" t="n">
        <v>6</v>
      </c>
      <c r="AG1076" t="n">
        <v>6</v>
      </c>
      <c r="AH1076" t="n">
        <v>4</v>
      </c>
      <c r="AI1076" t="n">
        <v>4</v>
      </c>
      <c r="AJ1076" t="n">
        <v>8</v>
      </c>
      <c r="AK1076" t="n">
        <v>8</v>
      </c>
      <c r="AL1076" t="n">
        <v>1</v>
      </c>
      <c r="AM1076" t="n">
        <v>1</v>
      </c>
      <c r="AN1076" t="n">
        <v>1</v>
      </c>
      <c r="AO1076" t="n">
        <v>1</v>
      </c>
      <c r="AP1076" t="inlineStr">
        <is>
          <t>No</t>
        </is>
      </c>
      <c r="AQ1076" t="inlineStr">
        <is>
          <t>No</t>
        </is>
      </c>
      <c r="AS1076">
        <f>HYPERLINK("https://creighton-primo.hosted.exlibrisgroup.com/primo-explore/search?tab=default_tab&amp;search_scope=EVERYTHING&amp;vid=01CRU&amp;lang=en_US&amp;offset=0&amp;query=any,contains,991003653219702656","Catalog Record")</f>
        <v/>
      </c>
      <c r="AT1076">
        <f>HYPERLINK("http://www.worldcat.org/oclc/45100317","WorldCat Record")</f>
        <v/>
      </c>
      <c r="AU1076" t="inlineStr">
        <is>
          <t>837079877:eng</t>
        </is>
      </c>
      <c r="AV1076" t="inlineStr">
        <is>
          <t>45100317</t>
        </is>
      </c>
      <c r="AW1076" t="inlineStr">
        <is>
          <t>991003653219702656</t>
        </is>
      </c>
      <c r="AX1076" t="inlineStr">
        <is>
          <t>991003653219702656</t>
        </is>
      </c>
      <c r="AY1076" t="inlineStr">
        <is>
          <t>2269523140002656</t>
        </is>
      </c>
      <c r="AZ1076" t="inlineStr">
        <is>
          <t>BOOK</t>
        </is>
      </c>
      <c r="BB1076" t="inlineStr">
        <is>
          <t>9780275967499</t>
        </is>
      </c>
      <c r="BC1076" t="inlineStr">
        <is>
          <t>32285004410881</t>
        </is>
      </c>
      <c r="BD1076" t="inlineStr">
        <is>
          <t>893525056</t>
        </is>
      </c>
    </row>
    <row r="1077">
      <c r="A1077" t="inlineStr">
        <is>
          <t>No</t>
        </is>
      </c>
      <c r="B1077" t="inlineStr">
        <is>
          <t>HV8059 .G78 2006</t>
        </is>
      </c>
      <c r="C1077" t="inlineStr">
        <is>
          <t>0                      HV 8059000G  78          2006</t>
        </is>
      </c>
      <c r="D1077" t="inlineStr">
        <is>
          <t>One nation under guns : an essay on an American epidemic / Arnold Grossman.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Grossman, Arnold.</t>
        </is>
      </c>
      <c r="L1077" t="inlineStr">
        <is>
          <t>Golden, Colo. : Fulcrum Pub., c2006.</t>
        </is>
      </c>
      <c r="M1077" t="inlineStr">
        <is>
          <t>2006</t>
        </is>
      </c>
      <c r="O1077" t="inlineStr">
        <is>
          <t>eng</t>
        </is>
      </c>
      <c r="P1077" t="inlineStr">
        <is>
          <t>cou</t>
        </is>
      </c>
      <c r="Q1077" t="inlineStr">
        <is>
          <t>Speaker's corner books</t>
        </is>
      </c>
      <c r="R1077" t="inlineStr">
        <is>
          <t xml:space="preserve">HV </t>
        </is>
      </c>
      <c r="S1077" t="n">
        <v>1</v>
      </c>
      <c r="T1077" t="n">
        <v>1</v>
      </c>
      <c r="U1077" t="inlineStr">
        <is>
          <t>2007-01-02</t>
        </is>
      </c>
      <c r="V1077" t="inlineStr">
        <is>
          <t>2007-01-02</t>
        </is>
      </c>
      <c r="W1077" t="inlineStr">
        <is>
          <t>2007-01-02</t>
        </is>
      </c>
      <c r="X1077" t="inlineStr">
        <is>
          <t>2007-01-02</t>
        </is>
      </c>
      <c r="Y1077" t="n">
        <v>162</v>
      </c>
      <c r="Z1077" t="n">
        <v>154</v>
      </c>
      <c r="AA1077" t="n">
        <v>159</v>
      </c>
      <c r="AB1077" t="n">
        <v>1</v>
      </c>
      <c r="AC1077" t="n">
        <v>1</v>
      </c>
      <c r="AD1077" t="n">
        <v>3</v>
      </c>
      <c r="AE1077" t="n">
        <v>3</v>
      </c>
      <c r="AF1077" t="n">
        <v>1</v>
      </c>
      <c r="AG1077" t="n">
        <v>1</v>
      </c>
      <c r="AH1077" t="n">
        <v>0</v>
      </c>
      <c r="AI1077" t="n">
        <v>0</v>
      </c>
      <c r="AJ1077" t="n">
        <v>3</v>
      </c>
      <c r="AK1077" t="n">
        <v>3</v>
      </c>
      <c r="AL1077" t="n">
        <v>0</v>
      </c>
      <c r="AM1077" t="n">
        <v>0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No</t>
        </is>
      </c>
      <c r="AS1077">
        <f>HYPERLINK("https://creighton-primo.hosted.exlibrisgroup.com/primo-explore/search?tab=default_tab&amp;search_scope=EVERYTHING&amp;vid=01CRU&amp;lang=en_US&amp;offset=0&amp;query=any,contains,991004993949702656","Catalog Record")</f>
        <v/>
      </c>
      <c r="AT1077">
        <f>HYPERLINK("http://www.worldcat.org/oclc/68694022","WorldCat Record")</f>
        <v/>
      </c>
      <c r="AU1077" t="inlineStr">
        <is>
          <t>52000719:eng</t>
        </is>
      </c>
      <c r="AV1077" t="inlineStr">
        <is>
          <t>68694022</t>
        </is>
      </c>
      <c r="AW1077" t="inlineStr">
        <is>
          <t>991004993949702656</t>
        </is>
      </c>
      <c r="AX1077" t="inlineStr">
        <is>
          <t>991004993949702656</t>
        </is>
      </c>
      <c r="AY1077" t="inlineStr">
        <is>
          <t>2270406880002656</t>
        </is>
      </c>
      <c r="AZ1077" t="inlineStr">
        <is>
          <t>BOOK</t>
        </is>
      </c>
      <c r="BB1077" t="inlineStr">
        <is>
          <t>9781555915575</t>
        </is>
      </c>
      <c r="BC1077" t="inlineStr">
        <is>
          <t>32285005267702</t>
        </is>
      </c>
      <c r="BD1077" t="inlineStr">
        <is>
          <t>893260412</t>
        </is>
      </c>
    </row>
    <row r="1078">
      <c r="A1078" t="inlineStr">
        <is>
          <t>No</t>
        </is>
      </c>
      <c r="B1078" t="inlineStr">
        <is>
          <t>HV8059 .K45</t>
        </is>
      </c>
      <c r="C1078" t="inlineStr">
        <is>
          <t>0                      HV 8059000K  45</t>
        </is>
      </c>
      <c r="D1078" t="inlineStr">
        <is>
          <t>The gun in America : the origins of a national dilemma / Lee Kennett and James La Verne Anderson.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Kennett, Lee B.</t>
        </is>
      </c>
      <c r="L1078" t="inlineStr">
        <is>
          <t>Westport, Conn. : Greenwood Press, 1975.</t>
        </is>
      </c>
      <c r="M1078" t="inlineStr">
        <is>
          <t>1975</t>
        </is>
      </c>
      <c r="O1078" t="inlineStr">
        <is>
          <t>eng</t>
        </is>
      </c>
      <c r="P1078" t="inlineStr">
        <is>
          <t>ctu</t>
        </is>
      </c>
      <c r="Q1078" t="inlineStr">
        <is>
          <t>Contributions in American history ; no. 37</t>
        </is>
      </c>
      <c r="R1078" t="inlineStr">
        <is>
          <t xml:space="preserve">HV </t>
        </is>
      </c>
      <c r="S1078" t="n">
        <v>18</v>
      </c>
      <c r="T1078" t="n">
        <v>18</v>
      </c>
      <c r="U1078" t="inlineStr">
        <is>
          <t>2002-10-21</t>
        </is>
      </c>
      <c r="V1078" t="inlineStr">
        <is>
          <t>2002-10-21</t>
        </is>
      </c>
      <c r="W1078" t="inlineStr">
        <is>
          <t>1992-05-07</t>
        </is>
      </c>
      <c r="X1078" t="inlineStr">
        <is>
          <t>1992-05-07</t>
        </is>
      </c>
      <c r="Y1078" t="n">
        <v>1040</v>
      </c>
      <c r="Z1078" t="n">
        <v>947</v>
      </c>
      <c r="AA1078" t="n">
        <v>949</v>
      </c>
      <c r="AB1078" t="n">
        <v>7</v>
      </c>
      <c r="AC1078" t="n">
        <v>7</v>
      </c>
      <c r="AD1078" t="n">
        <v>33</v>
      </c>
      <c r="AE1078" t="n">
        <v>33</v>
      </c>
      <c r="AF1078" t="n">
        <v>10</v>
      </c>
      <c r="AG1078" t="n">
        <v>10</v>
      </c>
      <c r="AH1078" t="n">
        <v>5</v>
      </c>
      <c r="AI1078" t="n">
        <v>5</v>
      </c>
      <c r="AJ1078" t="n">
        <v>14</v>
      </c>
      <c r="AK1078" t="n">
        <v>14</v>
      </c>
      <c r="AL1078" t="n">
        <v>4</v>
      </c>
      <c r="AM1078" t="n">
        <v>4</v>
      </c>
      <c r="AN1078" t="n">
        <v>6</v>
      </c>
      <c r="AO1078" t="n">
        <v>6</v>
      </c>
      <c r="AP1078" t="inlineStr">
        <is>
          <t>No</t>
        </is>
      </c>
      <c r="AQ1078" t="inlineStr">
        <is>
          <t>No</t>
        </is>
      </c>
      <c r="AS1078">
        <f>HYPERLINK("https://creighton-primo.hosted.exlibrisgroup.com/primo-explore/search?tab=default_tab&amp;search_scope=EVERYTHING&amp;vid=01CRU&amp;lang=en_US&amp;offset=0&amp;query=any,contains,991003527709702656","Catalog Record")</f>
        <v/>
      </c>
      <c r="AT1078">
        <f>HYPERLINK("http://www.worldcat.org/oclc/1091610","WorldCat Record")</f>
        <v/>
      </c>
      <c r="AU1078" t="inlineStr">
        <is>
          <t>501054:eng</t>
        </is>
      </c>
      <c r="AV1078" t="inlineStr">
        <is>
          <t>1091610</t>
        </is>
      </c>
      <c r="AW1078" t="inlineStr">
        <is>
          <t>991003527709702656</t>
        </is>
      </c>
      <c r="AX1078" t="inlineStr">
        <is>
          <t>991003527709702656</t>
        </is>
      </c>
      <c r="AY1078" t="inlineStr">
        <is>
          <t>2265915400002656</t>
        </is>
      </c>
      <c r="AZ1078" t="inlineStr">
        <is>
          <t>BOOK</t>
        </is>
      </c>
      <c r="BB1078" t="inlineStr">
        <is>
          <t>9780837175300</t>
        </is>
      </c>
      <c r="BC1078" t="inlineStr">
        <is>
          <t>32285001093896</t>
        </is>
      </c>
      <c r="BD1078" t="inlineStr">
        <is>
          <t>893252461</t>
        </is>
      </c>
    </row>
    <row r="1079">
      <c r="A1079" t="inlineStr">
        <is>
          <t>No</t>
        </is>
      </c>
      <c r="B1079" t="inlineStr">
        <is>
          <t>HV8059 .K65 2004</t>
        </is>
      </c>
      <c r="C1079" t="inlineStr">
        <is>
          <t>0                      HV 8059000K  65          2004</t>
        </is>
      </c>
      <c r="D1079" t="inlineStr">
        <is>
          <t>Shooters : myths and realities of America's gun cultures / by Abigail A. Kohn.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Kohn, Abigail A.</t>
        </is>
      </c>
      <c r="L1079" t="inlineStr">
        <is>
          <t>New York : Oxford University Press, 2004.</t>
        </is>
      </c>
      <c r="M1079" t="inlineStr">
        <is>
          <t>2004</t>
        </is>
      </c>
      <c r="O1079" t="inlineStr">
        <is>
          <t>eng</t>
        </is>
      </c>
      <c r="P1079" t="inlineStr">
        <is>
          <t>nyu</t>
        </is>
      </c>
      <c r="R1079" t="inlineStr">
        <is>
          <t xml:space="preserve">HV </t>
        </is>
      </c>
      <c r="S1079" t="n">
        <v>1</v>
      </c>
      <c r="T1079" t="n">
        <v>1</v>
      </c>
      <c r="U1079" t="inlineStr">
        <is>
          <t>2006-04-17</t>
        </is>
      </c>
      <c r="V1079" t="inlineStr">
        <is>
          <t>2006-04-17</t>
        </is>
      </c>
      <c r="W1079" t="inlineStr">
        <is>
          <t>2006-04-17</t>
        </is>
      </c>
      <c r="X1079" t="inlineStr">
        <is>
          <t>2006-04-17</t>
        </is>
      </c>
      <c r="Y1079" t="n">
        <v>803</v>
      </c>
      <c r="Z1079" t="n">
        <v>741</v>
      </c>
      <c r="AA1079" t="n">
        <v>1152</v>
      </c>
      <c r="AB1079" t="n">
        <v>3</v>
      </c>
      <c r="AC1079" t="n">
        <v>32</v>
      </c>
      <c r="AD1079" t="n">
        <v>33</v>
      </c>
      <c r="AE1079" t="n">
        <v>49</v>
      </c>
      <c r="AF1079" t="n">
        <v>13</v>
      </c>
      <c r="AG1079" t="n">
        <v>16</v>
      </c>
      <c r="AH1079" t="n">
        <v>9</v>
      </c>
      <c r="AI1079" t="n">
        <v>9</v>
      </c>
      <c r="AJ1079" t="n">
        <v>16</v>
      </c>
      <c r="AK1079" t="n">
        <v>18</v>
      </c>
      <c r="AL1079" t="n">
        <v>2</v>
      </c>
      <c r="AM1079" t="n">
        <v>13</v>
      </c>
      <c r="AN1079" t="n">
        <v>1</v>
      </c>
      <c r="AO1079" t="n">
        <v>1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HYPERLINK("https://creighton-primo.hosted.exlibrisgroup.com/primo-explore/search?tab=default_tab&amp;search_scope=EVERYTHING&amp;vid=01CRU&amp;lang=en_US&amp;offset=0&amp;query=any,contains,991004788689702656","Catalog Record")</f>
        <v/>
      </c>
      <c r="AT1079">
        <f>HYPERLINK("http://www.worldcat.org/oclc/52838709","WorldCat Record")</f>
        <v/>
      </c>
      <c r="AU1079" t="inlineStr">
        <is>
          <t>792590148:eng</t>
        </is>
      </c>
      <c r="AV1079" t="inlineStr">
        <is>
          <t>52838709</t>
        </is>
      </c>
      <c r="AW1079" t="inlineStr">
        <is>
          <t>991004788689702656</t>
        </is>
      </c>
      <c r="AX1079" t="inlineStr">
        <is>
          <t>991004788689702656</t>
        </is>
      </c>
      <c r="AY1079" t="inlineStr">
        <is>
          <t>2267258900002656</t>
        </is>
      </c>
      <c r="AZ1079" t="inlineStr">
        <is>
          <t>BOOK</t>
        </is>
      </c>
      <c r="BB1079" t="inlineStr">
        <is>
          <t>9780195150513</t>
        </is>
      </c>
      <c r="BC1079" t="inlineStr">
        <is>
          <t>32285005064018</t>
        </is>
      </c>
      <c r="BD1079" t="inlineStr">
        <is>
          <t>893882941</t>
        </is>
      </c>
    </row>
    <row r="1080">
      <c r="A1080" t="inlineStr">
        <is>
          <t>No</t>
        </is>
      </c>
      <c r="B1080" t="inlineStr">
        <is>
          <t>HV8059 .K79</t>
        </is>
      </c>
      <c r="C1080" t="inlineStr">
        <is>
          <t>0                      HV 8059000K  79</t>
        </is>
      </c>
      <c r="D1080" t="inlineStr">
        <is>
          <t>Gun control / [by] Robert J. Kukla. Edited by Harlon B. Carter.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Kukla, Robert J.</t>
        </is>
      </c>
      <c r="L1080" t="inlineStr">
        <is>
          <t>[Harrisburg, Pa.] : Stackpole Books, [1973]</t>
        </is>
      </c>
      <c r="M1080" t="inlineStr">
        <is>
          <t>1973</t>
        </is>
      </c>
      <c r="O1080" t="inlineStr">
        <is>
          <t>eng</t>
        </is>
      </c>
      <c r="P1080" t="inlineStr">
        <is>
          <t>pau</t>
        </is>
      </c>
      <c r="R1080" t="inlineStr">
        <is>
          <t xml:space="preserve">HV </t>
        </is>
      </c>
      <c r="S1080" t="n">
        <v>24</v>
      </c>
      <c r="T1080" t="n">
        <v>24</v>
      </c>
      <c r="U1080" t="inlineStr">
        <is>
          <t>1999-06-24</t>
        </is>
      </c>
      <c r="V1080" t="inlineStr">
        <is>
          <t>1999-06-24</t>
        </is>
      </c>
      <c r="W1080" t="inlineStr">
        <is>
          <t>1992-11-30</t>
        </is>
      </c>
      <c r="X1080" t="inlineStr">
        <is>
          <t>1992-11-30</t>
        </is>
      </c>
      <c r="Y1080" t="n">
        <v>704</v>
      </c>
      <c r="Z1080" t="n">
        <v>662</v>
      </c>
      <c r="AA1080" t="n">
        <v>670</v>
      </c>
      <c r="AB1080" t="n">
        <v>4</v>
      </c>
      <c r="AC1080" t="n">
        <v>4</v>
      </c>
      <c r="AD1080" t="n">
        <v>19</v>
      </c>
      <c r="AE1080" t="n">
        <v>19</v>
      </c>
      <c r="AF1080" t="n">
        <v>7</v>
      </c>
      <c r="AG1080" t="n">
        <v>7</v>
      </c>
      <c r="AH1080" t="n">
        <v>3</v>
      </c>
      <c r="AI1080" t="n">
        <v>3</v>
      </c>
      <c r="AJ1080" t="n">
        <v>7</v>
      </c>
      <c r="AK1080" t="n">
        <v>7</v>
      </c>
      <c r="AL1080" t="n">
        <v>2</v>
      </c>
      <c r="AM1080" t="n">
        <v>2</v>
      </c>
      <c r="AN1080" t="n">
        <v>3</v>
      </c>
      <c r="AO1080" t="n">
        <v>3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HYPERLINK("http://catalog.hathitrust.org/Record/001120465","HathiTrust Record")</f>
        <v/>
      </c>
      <c r="AS1080">
        <f>HYPERLINK("https://creighton-primo.hosted.exlibrisgroup.com/primo-explore/search?tab=default_tab&amp;search_scope=EVERYTHING&amp;vid=01CRU&amp;lang=en_US&amp;offset=0&amp;query=any,contains,991003101979702656","Catalog Record")</f>
        <v/>
      </c>
      <c r="AT1080">
        <f>HYPERLINK("http://www.worldcat.org/oclc/650673","WorldCat Record")</f>
        <v/>
      </c>
      <c r="AU1080" t="inlineStr">
        <is>
          <t>1597454:eng</t>
        </is>
      </c>
      <c r="AV1080" t="inlineStr">
        <is>
          <t>650673</t>
        </is>
      </c>
      <c r="AW1080" t="inlineStr">
        <is>
          <t>991003101979702656</t>
        </is>
      </c>
      <c r="AX1080" t="inlineStr">
        <is>
          <t>991003101979702656</t>
        </is>
      </c>
      <c r="AY1080" t="inlineStr">
        <is>
          <t>2266362440002656</t>
        </is>
      </c>
      <c r="AZ1080" t="inlineStr">
        <is>
          <t>BOOK</t>
        </is>
      </c>
      <c r="BB1080" t="inlineStr">
        <is>
          <t>9780811711906</t>
        </is>
      </c>
      <c r="BC1080" t="inlineStr">
        <is>
          <t>32285001410132</t>
        </is>
      </c>
      <c r="BD1080" t="inlineStr">
        <is>
          <t>893899627</t>
        </is>
      </c>
    </row>
    <row r="1081">
      <c r="A1081" t="inlineStr">
        <is>
          <t>No</t>
        </is>
      </c>
      <c r="B1081" t="inlineStr">
        <is>
          <t>HV8059 .S47</t>
        </is>
      </c>
      <c r="C1081" t="inlineStr">
        <is>
          <t>0                      HV 8059000S  47</t>
        </is>
      </c>
      <c r="D1081" t="inlineStr">
        <is>
          <t>The Saturday night special ; and, other guns with which Americans won the West, protected bootleg franchises, slew wildlife, robbed countless banks, shot husbands purposely and by mistake, and killed presidents--together with the debate over continuing same / illustrated by Julio Fernandez.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Sherrill, Robert.</t>
        </is>
      </c>
      <c r="L1081" t="inlineStr">
        <is>
          <t>New York : Charterhouse, [1973]</t>
        </is>
      </c>
      <c r="M1081" t="inlineStr">
        <is>
          <t>1973</t>
        </is>
      </c>
      <c r="O1081" t="inlineStr">
        <is>
          <t>eng</t>
        </is>
      </c>
      <c r="P1081" t="inlineStr">
        <is>
          <t>nyu</t>
        </is>
      </c>
      <c r="R1081" t="inlineStr">
        <is>
          <t xml:space="preserve">HV </t>
        </is>
      </c>
      <c r="S1081" t="n">
        <v>13</v>
      </c>
      <c r="T1081" t="n">
        <v>13</v>
      </c>
      <c r="U1081" t="inlineStr">
        <is>
          <t>2002-10-03</t>
        </is>
      </c>
      <c r="V1081" t="inlineStr">
        <is>
          <t>2002-10-03</t>
        </is>
      </c>
      <c r="W1081" t="inlineStr">
        <is>
          <t>1992-11-30</t>
        </is>
      </c>
      <c r="X1081" t="inlineStr">
        <is>
          <t>1992-11-30</t>
        </is>
      </c>
      <c r="Y1081" t="n">
        <v>908</v>
      </c>
      <c r="Z1081" t="n">
        <v>867</v>
      </c>
      <c r="AA1081" t="n">
        <v>911</v>
      </c>
      <c r="AB1081" t="n">
        <v>7</v>
      </c>
      <c r="AC1081" t="n">
        <v>7</v>
      </c>
      <c r="AD1081" t="n">
        <v>28</v>
      </c>
      <c r="AE1081" t="n">
        <v>30</v>
      </c>
      <c r="AF1081" t="n">
        <v>9</v>
      </c>
      <c r="AG1081" t="n">
        <v>10</v>
      </c>
      <c r="AH1081" t="n">
        <v>4</v>
      </c>
      <c r="AI1081" t="n">
        <v>4</v>
      </c>
      <c r="AJ1081" t="n">
        <v>12</v>
      </c>
      <c r="AK1081" t="n">
        <v>14</v>
      </c>
      <c r="AL1081" t="n">
        <v>4</v>
      </c>
      <c r="AM1081" t="n">
        <v>4</v>
      </c>
      <c r="AN1081" t="n">
        <v>6</v>
      </c>
      <c r="AO1081" t="n">
        <v>6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HYPERLINK("http://catalog.hathitrust.org/Record/000013050","HathiTrust Record")</f>
        <v/>
      </c>
      <c r="AS1081">
        <f>HYPERLINK("https://creighton-primo.hosted.exlibrisgroup.com/primo-explore/search?tab=default_tab&amp;search_scope=EVERYTHING&amp;vid=01CRU&amp;lang=en_US&amp;offset=0&amp;query=any,contains,991003243879702656","Catalog Record")</f>
        <v/>
      </c>
      <c r="AT1081">
        <f>HYPERLINK("http://www.worldcat.org/oclc/766954","WorldCat Record")</f>
        <v/>
      </c>
      <c r="AU1081" t="inlineStr">
        <is>
          <t>1661242:eng</t>
        </is>
      </c>
      <c r="AV1081" t="inlineStr">
        <is>
          <t>766954</t>
        </is>
      </c>
      <c r="AW1081" t="inlineStr">
        <is>
          <t>991003243879702656</t>
        </is>
      </c>
      <c r="AX1081" t="inlineStr">
        <is>
          <t>991003243879702656</t>
        </is>
      </c>
      <c r="AY1081" t="inlineStr">
        <is>
          <t>2267362880002656</t>
        </is>
      </c>
      <c r="AZ1081" t="inlineStr">
        <is>
          <t>BOOK</t>
        </is>
      </c>
      <c r="BB1081" t="inlineStr">
        <is>
          <t>9780883270165</t>
        </is>
      </c>
      <c r="BC1081" t="inlineStr">
        <is>
          <t>32285001410124</t>
        </is>
      </c>
      <c r="BD1081" t="inlineStr">
        <is>
          <t>893348474</t>
        </is>
      </c>
    </row>
    <row r="1082">
      <c r="A1082" t="inlineStr">
        <is>
          <t>No</t>
        </is>
      </c>
      <c r="B1082" t="inlineStr">
        <is>
          <t>HV8069 .C8</t>
        </is>
      </c>
      <c r="C1082" t="inlineStr">
        <is>
          <t>0                      HV 8069000C  8</t>
        </is>
      </c>
      <c r="D1082" t="inlineStr">
        <is>
          <t>Race tensions and the police / by J.E. Curry and Glen D. King ; with a foreword by George Eastman.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Curry, J. E. (Jesse E.)</t>
        </is>
      </c>
      <c r="L1082" t="inlineStr">
        <is>
          <t>Springfield, Ill. : Thomas, c1962.</t>
        </is>
      </c>
      <c r="M1082" t="inlineStr">
        <is>
          <t>1962</t>
        </is>
      </c>
      <c r="O1082" t="inlineStr">
        <is>
          <t>eng</t>
        </is>
      </c>
      <c r="P1082" t="inlineStr">
        <is>
          <t>ilu</t>
        </is>
      </c>
      <c r="Q1082" t="inlineStr">
        <is>
          <t>Police science series</t>
        </is>
      </c>
      <c r="R1082" t="inlineStr">
        <is>
          <t xml:space="preserve">HV </t>
        </is>
      </c>
      <c r="S1082" t="n">
        <v>4</v>
      </c>
      <c r="T1082" t="n">
        <v>4</v>
      </c>
      <c r="U1082" t="inlineStr">
        <is>
          <t>1998-12-09</t>
        </is>
      </c>
      <c r="V1082" t="inlineStr">
        <is>
          <t>1998-12-09</t>
        </is>
      </c>
      <c r="W1082" t="inlineStr">
        <is>
          <t>1991-04-19</t>
        </is>
      </c>
      <c r="X1082" t="inlineStr">
        <is>
          <t>1991-04-19</t>
        </is>
      </c>
      <c r="Y1082" t="n">
        <v>385</v>
      </c>
      <c r="Z1082" t="n">
        <v>352</v>
      </c>
      <c r="AA1082" t="n">
        <v>366</v>
      </c>
      <c r="AB1082" t="n">
        <v>1</v>
      </c>
      <c r="AC1082" t="n">
        <v>1</v>
      </c>
      <c r="AD1082" t="n">
        <v>15</v>
      </c>
      <c r="AE1082" t="n">
        <v>15</v>
      </c>
      <c r="AF1082" t="n">
        <v>5</v>
      </c>
      <c r="AG1082" t="n">
        <v>5</v>
      </c>
      <c r="AH1082" t="n">
        <v>2</v>
      </c>
      <c r="AI1082" t="n">
        <v>2</v>
      </c>
      <c r="AJ1082" t="n">
        <v>9</v>
      </c>
      <c r="AK1082" t="n">
        <v>9</v>
      </c>
      <c r="AL1082" t="n">
        <v>0</v>
      </c>
      <c r="AM1082" t="n">
        <v>0</v>
      </c>
      <c r="AN1082" t="n">
        <v>3</v>
      </c>
      <c r="AO1082" t="n">
        <v>3</v>
      </c>
      <c r="AP1082" t="inlineStr">
        <is>
          <t>Yes</t>
        </is>
      </c>
      <c r="AQ1082" t="inlineStr">
        <is>
          <t>No</t>
        </is>
      </c>
      <c r="AR1082">
        <f>HYPERLINK("http://catalog.hathitrust.org/Record/001135019","HathiTrust Record")</f>
        <v/>
      </c>
      <c r="AS1082">
        <f>HYPERLINK("https://creighton-primo.hosted.exlibrisgroup.com/primo-explore/search?tab=default_tab&amp;search_scope=EVERYTHING&amp;vid=01CRU&amp;lang=en_US&amp;offset=0&amp;query=any,contains,991002599559702656","Catalog Record")</f>
        <v/>
      </c>
      <c r="AT1082">
        <f>HYPERLINK("http://www.worldcat.org/oclc/377019","WorldCat Record")</f>
        <v/>
      </c>
      <c r="AU1082" t="inlineStr">
        <is>
          <t>806404:eng</t>
        </is>
      </c>
      <c r="AV1082" t="inlineStr">
        <is>
          <t>377019</t>
        </is>
      </c>
      <c r="AW1082" t="inlineStr">
        <is>
          <t>991002599559702656</t>
        </is>
      </c>
      <c r="AX1082" t="inlineStr">
        <is>
          <t>991002599559702656</t>
        </is>
      </c>
      <c r="AY1082" t="inlineStr">
        <is>
          <t>2260852640002656</t>
        </is>
      </c>
      <c r="AZ1082" t="inlineStr">
        <is>
          <t>BOOK</t>
        </is>
      </c>
      <c r="BC1082" t="inlineStr">
        <is>
          <t>32285000583483</t>
        </is>
      </c>
      <c r="BD1082" t="inlineStr">
        <is>
          <t>893329297</t>
        </is>
      </c>
    </row>
    <row r="1083">
      <c r="A1083" t="inlineStr">
        <is>
          <t>No</t>
        </is>
      </c>
      <c r="B1083" t="inlineStr">
        <is>
          <t>HV8069 .P65 2010</t>
        </is>
      </c>
      <c r="C1083" t="inlineStr">
        <is>
          <t>0                      HV 8069000P  65          2010</t>
        </is>
      </c>
      <c r="D1083" t="inlineStr">
        <is>
          <t>Police use of force : a global perspective / Joseph B. Kuhns and Johannes Knutsson, editors ; foreword by David H. Bayley.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Santa Barbara, Calif. : Praeger, c2010.</t>
        </is>
      </c>
      <c r="M1083" t="inlineStr">
        <is>
          <t>2010</t>
        </is>
      </c>
      <c r="O1083" t="inlineStr">
        <is>
          <t>eng</t>
        </is>
      </c>
      <c r="P1083" t="inlineStr">
        <is>
          <t>cau</t>
        </is>
      </c>
      <c r="Q1083" t="inlineStr">
        <is>
          <t>Global crime and justice</t>
        </is>
      </c>
      <c r="R1083" t="inlineStr">
        <is>
          <t xml:space="preserve">HV </t>
        </is>
      </c>
      <c r="S1083" t="n">
        <v>1</v>
      </c>
      <c r="T1083" t="n">
        <v>1</v>
      </c>
      <c r="U1083" t="inlineStr">
        <is>
          <t>2010-12-16</t>
        </is>
      </c>
      <c r="V1083" t="inlineStr">
        <is>
          <t>2010-12-16</t>
        </is>
      </c>
      <c r="W1083" t="inlineStr">
        <is>
          <t>2010-12-16</t>
        </is>
      </c>
      <c r="X1083" t="inlineStr">
        <is>
          <t>2010-12-16</t>
        </is>
      </c>
      <c r="Y1083" t="n">
        <v>604</v>
      </c>
      <c r="Z1083" t="n">
        <v>538</v>
      </c>
      <c r="AA1083" t="n">
        <v>1317</v>
      </c>
      <c r="AB1083" t="n">
        <v>4</v>
      </c>
      <c r="AC1083" t="n">
        <v>19</v>
      </c>
      <c r="AD1083" t="n">
        <v>20</v>
      </c>
      <c r="AE1083" t="n">
        <v>38</v>
      </c>
      <c r="AF1083" t="n">
        <v>6</v>
      </c>
      <c r="AG1083" t="n">
        <v>15</v>
      </c>
      <c r="AH1083" t="n">
        <v>5</v>
      </c>
      <c r="AI1083" t="n">
        <v>6</v>
      </c>
      <c r="AJ1083" t="n">
        <v>13</v>
      </c>
      <c r="AK1083" t="n">
        <v>15</v>
      </c>
      <c r="AL1083" t="n">
        <v>3</v>
      </c>
      <c r="AM1083" t="n">
        <v>11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Yes</t>
        </is>
      </c>
      <c r="AR1083">
        <f>HYPERLINK("http://catalog.hathitrust.org/Record/007996556","HathiTrust Record")</f>
        <v/>
      </c>
      <c r="AS1083">
        <f>HYPERLINK("https://creighton-primo.hosted.exlibrisgroup.com/primo-explore/search?tab=default_tab&amp;search_scope=EVERYTHING&amp;vid=01CRU&amp;lang=en_US&amp;offset=0&amp;query=any,contains,991000224649702656","Catalog Record")</f>
        <v/>
      </c>
      <c r="AT1083">
        <f>HYPERLINK("http://www.worldcat.org/oclc/502158365","WorldCat Record")</f>
        <v/>
      </c>
      <c r="AU1083" t="inlineStr">
        <is>
          <t>864081916:eng</t>
        </is>
      </c>
      <c r="AV1083" t="inlineStr">
        <is>
          <t>502158365</t>
        </is>
      </c>
      <c r="AW1083" t="inlineStr">
        <is>
          <t>991000224649702656</t>
        </is>
      </c>
      <c r="AX1083" t="inlineStr">
        <is>
          <t>991000224649702656</t>
        </is>
      </c>
      <c r="AY1083" t="inlineStr">
        <is>
          <t>2257644540002656</t>
        </is>
      </c>
      <c r="AZ1083" t="inlineStr">
        <is>
          <t>BOOK</t>
        </is>
      </c>
      <c r="BB1083" t="inlineStr">
        <is>
          <t>9780313363269</t>
        </is>
      </c>
      <c r="BC1083" t="inlineStr">
        <is>
          <t>32285005651541</t>
        </is>
      </c>
      <c r="BD1083" t="inlineStr">
        <is>
          <t>893708230</t>
        </is>
      </c>
    </row>
    <row r="1084">
      <c r="A1084" t="inlineStr">
        <is>
          <t>No</t>
        </is>
      </c>
      <c r="B1084" t="inlineStr">
        <is>
          <t>HV8073 .F58</t>
        </is>
      </c>
      <c r="C1084" t="inlineStr">
        <is>
          <t>0                      HV 8073000F  58</t>
        </is>
      </c>
      <c r="D1084" t="inlineStr">
        <is>
          <t>Forensic science : a symposium at the 168th meeting of the American Chemical Society, Atlantic City, N.J., September 8-9, 1974 / Geoffrey Davies, editor ; co-sponsored by the Division of Analytical Chemistry and the Division of Chemical Education, inc.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Washington : American Chemical Society, 1975.</t>
        </is>
      </c>
      <c r="M1084" t="inlineStr">
        <is>
          <t>1975</t>
        </is>
      </c>
      <c r="O1084" t="inlineStr">
        <is>
          <t>eng</t>
        </is>
      </c>
      <c r="P1084" t="inlineStr">
        <is>
          <t>dcu</t>
        </is>
      </c>
      <c r="Q1084" t="inlineStr">
        <is>
          <t>ACS symposium series ; 13</t>
        </is>
      </c>
      <c r="R1084" t="inlineStr">
        <is>
          <t xml:space="preserve">HV </t>
        </is>
      </c>
      <c r="S1084" t="n">
        <v>5</v>
      </c>
      <c r="T1084" t="n">
        <v>5</v>
      </c>
      <c r="U1084" t="inlineStr">
        <is>
          <t>2003-04-18</t>
        </is>
      </c>
      <c r="V1084" t="inlineStr">
        <is>
          <t>2003-04-18</t>
        </is>
      </c>
      <c r="W1084" t="inlineStr">
        <is>
          <t>1994-05-24</t>
        </is>
      </c>
      <c r="X1084" t="inlineStr">
        <is>
          <t>1994-05-24</t>
        </is>
      </c>
      <c r="Y1084" t="n">
        <v>431</v>
      </c>
      <c r="Z1084" t="n">
        <v>361</v>
      </c>
      <c r="AA1084" t="n">
        <v>411</v>
      </c>
      <c r="AB1084" t="n">
        <v>5</v>
      </c>
      <c r="AC1084" t="n">
        <v>5</v>
      </c>
      <c r="AD1084" t="n">
        <v>17</v>
      </c>
      <c r="AE1084" t="n">
        <v>17</v>
      </c>
      <c r="AF1084" t="n">
        <v>7</v>
      </c>
      <c r="AG1084" t="n">
        <v>7</v>
      </c>
      <c r="AH1084" t="n">
        <v>3</v>
      </c>
      <c r="AI1084" t="n">
        <v>3</v>
      </c>
      <c r="AJ1084" t="n">
        <v>7</v>
      </c>
      <c r="AK1084" t="n">
        <v>7</v>
      </c>
      <c r="AL1084" t="n">
        <v>4</v>
      </c>
      <c r="AM1084" t="n">
        <v>4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HYPERLINK("http://catalog.hathitrust.org/Record/001135025","HathiTrust Record")</f>
        <v/>
      </c>
      <c r="AS1084">
        <f>HYPERLINK("https://creighton-primo.hosted.exlibrisgroup.com/primo-explore/search?tab=default_tab&amp;search_scope=EVERYTHING&amp;vid=01CRU&amp;lang=en_US&amp;offset=0&amp;query=any,contains,991003778959702656","Catalog Record")</f>
        <v/>
      </c>
      <c r="AT1084">
        <f>HYPERLINK("http://www.worldcat.org/oclc/1490115","WorldCat Record")</f>
        <v/>
      </c>
      <c r="AU1084" t="inlineStr">
        <is>
          <t>4918507692:eng</t>
        </is>
      </c>
      <c r="AV1084" t="inlineStr">
        <is>
          <t>1490115</t>
        </is>
      </c>
      <c r="AW1084" t="inlineStr">
        <is>
          <t>991003778959702656</t>
        </is>
      </c>
      <c r="AX1084" t="inlineStr">
        <is>
          <t>991003778959702656</t>
        </is>
      </c>
      <c r="AY1084" t="inlineStr">
        <is>
          <t>2266227930002656</t>
        </is>
      </c>
      <c r="AZ1084" t="inlineStr">
        <is>
          <t>BOOK</t>
        </is>
      </c>
      <c r="BB1084" t="inlineStr">
        <is>
          <t>9780841202801</t>
        </is>
      </c>
      <c r="BC1084" t="inlineStr">
        <is>
          <t>32285001913325</t>
        </is>
      </c>
      <c r="BD1084" t="inlineStr">
        <is>
          <t>893693147</t>
        </is>
      </c>
    </row>
    <row r="1085">
      <c r="A1085" t="inlineStr">
        <is>
          <t>No</t>
        </is>
      </c>
      <c r="B1085" t="inlineStr">
        <is>
          <t>HV8073 .G53 1993</t>
        </is>
      </c>
      <c r="C1085" t="inlineStr">
        <is>
          <t>0                      HV 8073000G  53          1993</t>
        </is>
      </c>
      <c r="D1085" t="inlineStr">
        <is>
          <t>Criminal investigation / James N. Gilbert.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Gilbert, James N.</t>
        </is>
      </c>
      <c r="L1085" t="inlineStr">
        <is>
          <t>New York, N.Y. : Macmillan ; Toronto, Ont. : Maxwell Macmillan Canada, c1993.</t>
        </is>
      </c>
      <c r="M1085" t="inlineStr">
        <is>
          <t>1993</t>
        </is>
      </c>
      <c r="N1085" t="inlineStr">
        <is>
          <t>3rd ed.</t>
        </is>
      </c>
      <c r="O1085" t="inlineStr">
        <is>
          <t>eng</t>
        </is>
      </c>
      <c r="P1085" t="inlineStr">
        <is>
          <t>nyu</t>
        </is>
      </c>
      <c r="R1085" t="inlineStr">
        <is>
          <t xml:space="preserve">HV </t>
        </is>
      </c>
      <c r="S1085" t="n">
        <v>11</v>
      </c>
      <c r="T1085" t="n">
        <v>11</v>
      </c>
      <c r="U1085" t="inlineStr">
        <is>
          <t>2003-03-17</t>
        </is>
      </c>
      <c r="V1085" t="inlineStr">
        <is>
          <t>2003-03-17</t>
        </is>
      </c>
      <c r="W1085" t="inlineStr">
        <is>
          <t>1993-05-06</t>
        </is>
      </c>
      <c r="X1085" t="inlineStr">
        <is>
          <t>1993-05-06</t>
        </is>
      </c>
      <c r="Y1085" t="n">
        <v>68</v>
      </c>
      <c r="Z1085" t="n">
        <v>60</v>
      </c>
      <c r="AA1085" t="n">
        <v>410</v>
      </c>
      <c r="AB1085" t="n">
        <v>4</v>
      </c>
      <c r="AC1085" t="n">
        <v>6</v>
      </c>
      <c r="AD1085" t="n">
        <v>4</v>
      </c>
      <c r="AE1085" t="n">
        <v>14</v>
      </c>
      <c r="AF1085" t="n">
        <v>0</v>
      </c>
      <c r="AG1085" t="n">
        <v>2</v>
      </c>
      <c r="AH1085" t="n">
        <v>0</v>
      </c>
      <c r="AI1085" t="n">
        <v>1</v>
      </c>
      <c r="AJ1085" t="n">
        <v>1</v>
      </c>
      <c r="AK1085" t="n">
        <v>6</v>
      </c>
      <c r="AL1085" t="n">
        <v>3</v>
      </c>
      <c r="AM1085" t="n">
        <v>4</v>
      </c>
      <c r="AN1085" t="n">
        <v>0</v>
      </c>
      <c r="AO1085" t="n">
        <v>4</v>
      </c>
      <c r="AP1085" t="inlineStr">
        <is>
          <t>No</t>
        </is>
      </c>
      <c r="AQ1085" t="inlineStr">
        <is>
          <t>Yes</t>
        </is>
      </c>
      <c r="AR1085">
        <f>HYPERLINK("http://catalog.hathitrust.org/Record/009807904","HathiTrust Record")</f>
        <v/>
      </c>
      <c r="AS1085">
        <f>HYPERLINK("https://creighton-primo.hosted.exlibrisgroup.com/primo-explore/search?tab=default_tab&amp;search_scope=EVERYTHING&amp;vid=01CRU&amp;lang=en_US&amp;offset=0&amp;query=any,contains,991002032819702656","Catalog Record")</f>
        <v/>
      </c>
      <c r="AT1085">
        <f>HYPERLINK("http://www.worldcat.org/oclc/25874241","WorldCat Record")</f>
        <v/>
      </c>
      <c r="AU1085" t="inlineStr">
        <is>
          <t>3855333646:eng</t>
        </is>
      </c>
      <c r="AV1085" t="inlineStr">
        <is>
          <t>25874241</t>
        </is>
      </c>
      <c r="AW1085" t="inlineStr">
        <is>
          <t>991002032819702656</t>
        </is>
      </c>
      <c r="AX1085" t="inlineStr">
        <is>
          <t>991002032819702656</t>
        </is>
      </c>
      <c r="AY1085" t="inlineStr">
        <is>
          <t>2269143310002656</t>
        </is>
      </c>
      <c r="AZ1085" t="inlineStr">
        <is>
          <t>BOOK</t>
        </is>
      </c>
      <c r="BB1085" t="inlineStr">
        <is>
          <t>9780023429019</t>
        </is>
      </c>
      <c r="BC1085" t="inlineStr">
        <is>
          <t>32285001580819</t>
        </is>
      </c>
      <c r="BD1085" t="inlineStr">
        <is>
          <t>893621836</t>
        </is>
      </c>
    </row>
    <row r="1086">
      <c r="A1086" t="inlineStr">
        <is>
          <t>No</t>
        </is>
      </c>
      <c r="B1086" t="inlineStr">
        <is>
          <t>HV8073 .G827</t>
        </is>
      </c>
      <c r="C1086" t="inlineStr">
        <is>
          <t>0                      HV 8073000G  827</t>
        </is>
      </c>
      <c r="D1086" t="inlineStr">
        <is>
          <t>The criminal investigation process / Peter W. Greenwood, Jan M. Chaiken, Joan Petersilia ; with contributions from Linda Prusoff ... [et al.].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Greenwood, Peter W.</t>
        </is>
      </c>
      <c r="L1086" t="inlineStr">
        <is>
          <t>Lexington, Mass. : D.C. Heath, c1977.</t>
        </is>
      </c>
      <c r="M1086" t="inlineStr">
        <is>
          <t>1977</t>
        </is>
      </c>
      <c r="O1086" t="inlineStr">
        <is>
          <t>eng</t>
        </is>
      </c>
      <c r="P1086" t="inlineStr">
        <is>
          <t>mau</t>
        </is>
      </c>
      <c r="R1086" t="inlineStr">
        <is>
          <t xml:space="preserve">HV </t>
        </is>
      </c>
      <c r="S1086" t="n">
        <v>3</v>
      </c>
      <c r="T1086" t="n">
        <v>3</v>
      </c>
      <c r="U1086" t="inlineStr">
        <is>
          <t>2003-04-18</t>
        </is>
      </c>
      <c r="V1086" t="inlineStr">
        <is>
          <t>2003-04-18</t>
        </is>
      </c>
      <c r="W1086" t="inlineStr">
        <is>
          <t>1992-05-14</t>
        </is>
      </c>
      <c r="X1086" t="inlineStr">
        <is>
          <t>1992-05-14</t>
        </is>
      </c>
      <c r="Y1086" t="n">
        <v>440</v>
      </c>
      <c r="Z1086" t="n">
        <v>375</v>
      </c>
      <c r="AA1086" t="n">
        <v>409</v>
      </c>
      <c r="AB1086" t="n">
        <v>3</v>
      </c>
      <c r="AC1086" t="n">
        <v>3</v>
      </c>
      <c r="AD1086" t="n">
        <v>9</v>
      </c>
      <c r="AE1086" t="n">
        <v>10</v>
      </c>
      <c r="AF1086" t="n">
        <v>2</v>
      </c>
      <c r="AG1086" t="n">
        <v>2</v>
      </c>
      <c r="AH1086" t="n">
        <v>2</v>
      </c>
      <c r="AI1086" t="n">
        <v>2</v>
      </c>
      <c r="AJ1086" t="n">
        <v>4</v>
      </c>
      <c r="AK1086" t="n">
        <v>5</v>
      </c>
      <c r="AL1086" t="n">
        <v>2</v>
      </c>
      <c r="AM1086" t="n">
        <v>2</v>
      </c>
      <c r="AN1086" t="n">
        <v>1</v>
      </c>
      <c r="AO1086" t="n">
        <v>1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HYPERLINK("http://catalog.hathitrust.org/Record/009049799","HathiTrust Record")</f>
        <v/>
      </c>
      <c r="AS1086">
        <f>HYPERLINK("https://creighton-primo.hosted.exlibrisgroup.com/primo-explore/search?tab=default_tab&amp;search_scope=EVERYTHING&amp;vid=01CRU&amp;lang=en_US&amp;offset=0&amp;query=any,contains,991004177949702656","Catalog Record")</f>
        <v/>
      </c>
      <c r="AT1086">
        <f>HYPERLINK("http://www.worldcat.org/oclc/2598062","WorldCat Record")</f>
        <v/>
      </c>
      <c r="AU1086" t="inlineStr">
        <is>
          <t>514770:eng</t>
        </is>
      </c>
      <c r="AV1086" t="inlineStr">
        <is>
          <t>2598062</t>
        </is>
      </c>
      <c r="AW1086" t="inlineStr">
        <is>
          <t>991004177949702656</t>
        </is>
      </c>
      <c r="AX1086" t="inlineStr">
        <is>
          <t>991004177949702656</t>
        </is>
      </c>
      <c r="AY1086" t="inlineStr">
        <is>
          <t>2265995860002656</t>
        </is>
      </c>
      <c r="AZ1086" t="inlineStr">
        <is>
          <t>BOOK</t>
        </is>
      </c>
      <c r="BB1086" t="inlineStr">
        <is>
          <t>9780669009729</t>
        </is>
      </c>
      <c r="BC1086" t="inlineStr">
        <is>
          <t>32285001109718</t>
        </is>
      </c>
      <c r="BD1086" t="inlineStr">
        <is>
          <t>893693633</t>
        </is>
      </c>
    </row>
    <row r="1087">
      <c r="A1087" t="inlineStr">
        <is>
          <t>No</t>
        </is>
      </c>
      <c r="B1087" t="inlineStr">
        <is>
          <t>HV8073 .H624 1990</t>
        </is>
      </c>
      <c r="C1087" t="inlineStr">
        <is>
          <t>0                      HV 8073000H  624         1990</t>
        </is>
      </c>
      <c r="D1087" t="inlineStr">
        <is>
          <t>The acoustics of crime : the new science of forensic phonetics / Harry Hollien.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Hollien, Harry Francis, 1926-</t>
        </is>
      </c>
      <c r="L1087" t="inlineStr">
        <is>
          <t>New York : Plenum Press, c1990.</t>
        </is>
      </c>
      <c r="M1087" t="inlineStr">
        <is>
          <t>1990</t>
        </is>
      </c>
      <c r="O1087" t="inlineStr">
        <is>
          <t>eng</t>
        </is>
      </c>
      <c r="P1087" t="inlineStr">
        <is>
          <t>nyu</t>
        </is>
      </c>
      <c r="Q1087" t="inlineStr">
        <is>
          <t>Applied psycholinguistics and communication disorders</t>
        </is>
      </c>
      <c r="R1087" t="inlineStr">
        <is>
          <t xml:space="preserve">HV </t>
        </is>
      </c>
      <c r="S1087" t="n">
        <v>3</v>
      </c>
      <c r="T1087" t="n">
        <v>3</v>
      </c>
      <c r="U1087" t="inlineStr">
        <is>
          <t>2003-04-18</t>
        </is>
      </c>
      <c r="V1087" t="inlineStr">
        <is>
          <t>2003-04-18</t>
        </is>
      </c>
      <c r="W1087" t="inlineStr">
        <is>
          <t>1991-06-24</t>
        </is>
      </c>
      <c r="X1087" t="inlineStr">
        <is>
          <t>1991-06-24</t>
        </is>
      </c>
      <c r="Y1087" t="n">
        <v>337</v>
      </c>
      <c r="Z1087" t="n">
        <v>249</v>
      </c>
      <c r="AA1087" t="n">
        <v>270</v>
      </c>
      <c r="AB1087" t="n">
        <v>3</v>
      </c>
      <c r="AC1087" t="n">
        <v>3</v>
      </c>
      <c r="AD1087" t="n">
        <v>12</v>
      </c>
      <c r="AE1087" t="n">
        <v>15</v>
      </c>
      <c r="AF1087" t="n">
        <v>2</v>
      </c>
      <c r="AG1087" t="n">
        <v>5</v>
      </c>
      <c r="AH1087" t="n">
        <v>3</v>
      </c>
      <c r="AI1087" t="n">
        <v>4</v>
      </c>
      <c r="AJ1087" t="n">
        <v>6</v>
      </c>
      <c r="AK1087" t="n">
        <v>7</v>
      </c>
      <c r="AL1087" t="n">
        <v>2</v>
      </c>
      <c r="AM1087" t="n">
        <v>2</v>
      </c>
      <c r="AN1087" t="n">
        <v>2</v>
      </c>
      <c r="AO1087" t="n">
        <v>2</v>
      </c>
      <c r="AP1087" t="inlineStr">
        <is>
          <t>No</t>
        </is>
      </c>
      <c r="AQ1087" t="inlineStr">
        <is>
          <t>No</t>
        </is>
      </c>
      <c r="AS1087">
        <f>HYPERLINK("https://creighton-primo.hosted.exlibrisgroup.com/primo-explore/search?tab=default_tab&amp;search_scope=EVERYTHING&amp;vid=01CRU&amp;lang=en_US&amp;offset=0&amp;query=any,contains,991001704539702656","Catalog Record")</f>
        <v/>
      </c>
      <c r="AT1087">
        <f>HYPERLINK("http://www.worldcat.org/oclc/21559691","WorldCat Record")</f>
        <v/>
      </c>
      <c r="AU1087" t="inlineStr">
        <is>
          <t>324343864:eng</t>
        </is>
      </c>
      <c r="AV1087" t="inlineStr">
        <is>
          <t>21559691</t>
        </is>
      </c>
      <c r="AW1087" t="inlineStr">
        <is>
          <t>991001704539702656</t>
        </is>
      </c>
      <c r="AX1087" t="inlineStr">
        <is>
          <t>991001704539702656</t>
        </is>
      </c>
      <c r="AY1087" t="inlineStr">
        <is>
          <t>2272469160002656</t>
        </is>
      </c>
      <c r="AZ1087" t="inlineStr">
        <is>
          <t>BOOK</t>
        </is>
      </c>
      <c r="BB1087" t="inlineStr">
        <is>
          <t>9780306434679</t>
        </is>
      </c>
      <c r="BC1087" t="inlineStr">
        <is>
          <t>32285000658467</t>
        </is>
      </c>
      <c r="BD1087" t="inlineStr">
        <is>
          <t>893590570</t>
        </is>
      </c>
    </row>
    <row r="1088">
      <c r="A1088" t="inlineStr">
        <is>
          <t>No</t>
        </is>
      </c>
      <c r="B1088" t="inlineStr">
        <is>
          <t>HV8073 .H73</t>
        </is>
      </c>
      <c r="C1088" t="inlineStr">
        <is>
          <t>0                      HV 8073000H  73</t>
        </is>
      </c>
      <c r="D1088" t="inlineStr">
        <is>
          <t>Criminal investigation / [by] John J. Horgan.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Yes</t>
        </is>
      </c>
      <c r="J1088" t="inlineStr">
        <is>
          <t>0</t>
        </is>
      </c>
      <c r="K1088" t="inlineStr">
        <is>
          <t>Horgan, John J.</t>
        </is>
      </c>
      <c r="L1088" t="inlineStr">
        <is>
          <t>New York : McGraw-Hill, [1973, c1974]</t>
        </is>
      </c>
      <c r="M1088" t="inlineStr">
        <is>
          <t>1973</t>
        </is>
      </c>
      <c r="O1088" t="inlineStr">
        <is>
          <t>eng</t>
        </is>
      </c>
      <c r="P1088" t="inlineStr">
        <is>
          <t>nyu</t>
        </is>
      </c>
      <c r="R1088" t="inlineStr">
        <is>
          <t xml:space="preserve">HV </t>
        </is>
      </c>
      <c r="S1088" t="n">
        <v>8</v>
      </c>
      <c r="T1088" t="n">
        <v>8</v>
      </c>
      <c r="U1088" t="inlineStr">
        <is>
          <t>2003-04-18</t>
        </is>
      </c>
      <c r="V1088" t="inlineStr">
        <is>
          <t>2003-04-18</t>
        </is>
      </c>
      <c r="W1088" t="inlineStr">
        <is>
          <t>1991-09-16</t>
        </is>
      </c>
      <c r="X1088" t="inlineStr">
        <is>
          <t>1991-09-16</t>
        </is>
      </c>
      <c r="Y1088" t="n">
        <v>194</v>
      </c>
      <c r="Z1088" t="n">
        <v>165</v>
      </c>
      <c r="AA1088" t="n">
        <v>257</v>
      </c>
      <c r="AB1088" t="n">
        <v>2</v>
      </c>
      <c r="AC1088" t="n">
        <v>5</v>
      </c>
      <c r="AD1088" t="n">
        <v>5</v>
      </c>
      <c r="AE1088" t="n">
        <v>9</v>
      </c>
      <c r="AF1088" t="n">
        <v>1</v>
      </c>
      <c r="AG1088" t="n">
        <v>2</v>
      </c>
      <c r="AH1088" t="n">
        <v>0</v>
      </c>
      <c r="AI1088" t="n">
        <v>0</v>
      </c>
      <c r="AJ1088" t="n">
        <v>2</v>
      </c>
      <c r="AK1088" t="n">
        <v>2</v>
      </c>
      <c r="AL1088" t="n">
        <v>1</v>
      </c>
      <c r="AM1088" t="n">
        <v>3</v>
      </c>
      <c r="AN1088" t="n">
        <v>1</v>
      </c>
      <c r="AO1088" t="n">
        <v>2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HYPERLINK("http://catalog.hathitrust.org/Record/004402468","HathiTrust Record")</f>
        <v/>
      </c>
      <c r="AS1088">
        <f>HYPERLINK("https://creighton-primo.hosted.exlibrisgroup.com/primo-explore/search?tab=default_tab&amp;search_scope=EVERYTHING&amp;vid=01CRU&amp;lang=en_US&amp;offset=0&amp;query=any,contains,991002900139702656","Catalog Record")</f>
        <v/>
      </c>
      <c r="AT1088">
        <f>HYPERLINK("http://www.worldcat.org/oclc/516364","WorldCat Record")</f>
        <v/>
      </c>
      <c r="AU1088" t="inlineStr">
        <is>
          <t>3943708450:eng</t>
        </is>
      </c>
      <c r="AV1088" t="inlineStr">
        <is>
          <t>516364</t>
        </is>
      </c>
      <c r="AW1088" t="inlineStr">
        <is>
          <t>991002900139702656</t>
        </is>
      </c>
      <c r="AX1088" t="inlineStr">
        <is>
          <t>991002900139702656</t>
        </is>
      </c>
      <c r="AY1088" t="inlineStr">
        <is>
          <t>2256531810002656</t>
        </is>
      </c>
      <c r="AZ1088" t="inlineStr">
        <is>
          <t>BOOK</t>
        </is>
      </c>
      <c r="BB1088" t="inlineStr">
        <is>
          <t>9780070303379</t>
        </is>
      </c>
      <c r="BC1088" t="inlineStr">
        <is>
          <t>32285000737733</t>
        </is>
      </c>
      <c r="BD1088" t="inlineStr">
        <is>
          <t>893805189</t>
        </is>
      </c>
    </row>
    <row r="1089">
      <c r="A1089" t="inlineStr">
        <is>
          <t>No</t>
        </is>
      </c>
      <c r="B1089" t="inlineStr">
        <is>
          <t>HV8073 .O83</t>
        </is>
      </c>
      <c r="C1089" t="inlineStr">
        <is>
          <t>0                      HV 8073000O  83</t>
        </is>
      </c>
      <c r="D1089" t="inlineStr">
        <is>
          <t>The crime laboratory; case studies of scientific criminal investigation, by James W. Osterburg.</t>
        </is>
      </c>
      <c r="F1089" t="inlineStr">
        <is>
          <t>No</t>
        </is>
      </c>
      <c r="G1089" t="inlineStr">
        <is>
          <t>1</t>
        </is>
      </c>
      <c r="H1089" t="inlineStr">
        <is>
          <t>Yes</t>
        </is>
      </c>
      <c r="I1089" t="inlineStr">
        <is>
          <t>No</t>
        </is>
      </c>
      <c r="J1089" t="inlineStr">
        <is>
          <t>0</t>
        </is>
      </c>
      <c r="K1089" t="inlineStr">
        <is>
          <t>Osterburg, James W.</t>
        </is>
      </c>
      <c r="L1089" t="inlineStr">
        <is>
          <t>Bloomington, Indiana University Press [1968]</t>
        </is>
      </c>
      <c r="M1089" t="inlineStr">
        <is>
          <t>1968</t>
        </is>
      </c>
      <c r="O1089" t="inlineStr">
        <is>
          <t>eng</t>
        </is>
      </c>
      <c r="P1089" t="inlineStr">
        <is>
          <t>inu</t>
        </is>
      </c>
      <c r="R1089" t="inlineStr">
        <is>
          <t xml:space="preserve">HV </t>
        </is>
      </c>
      <c r="S1089" t="n">
        <v>6</v>
      </c>
      <c r="T1089" t="n">
        <v>6</v>
      </c>
      <c r="U1089" t="inlineStr">
        <is>
          <t>2003-04-18</t>
        </is>
      </c>
      <c r="V1089" t="inlineStr">
        <is>
          <t>2003-04-18</t>
        </is>
      </c>
      <c r="W1089" t="inlineStr">
        <is>
          <t>1997-08-25</t>
        </is>
      </c>
      <c r="X1089" t="inlineStr">
        <is>
          <t>1997-08-25</t>
        </is>
      </c>
      <c r="Y1089" t="n">
        <v>383</v>
      </c>
      <c r="Z1089" t="n">
        <v>345</v>
      </c>
      <c r="AA1089" t="n">
        <v>423</v>
      </c>
      <c r="AB1089" t="n">
        <v>5</v>
      </c>
      <c r="AC1089" t="n">
        <v>6</v>
      </c>
      <c r="AD1089" t="n">
        <v>15</v>
      </c>
      <c r="AE1089" t="n">
        <v>18</v>
      </c>
      <c r="AF1089" t="n">
        <v>3</v>
      </c>
      <c r="AG1089" t="n">
        <v>4</v>
      </c>
      <c r="AH1089" t="n">
        <v>1</v>
      </c>
      <c r="AI1089" t="n">
        <v>1</v>
      </c>
      <c r="AJ1089" t="n">
        <v>5</v>
      </c>
      <c r="AK1089" t="n">
        <v>6</v>
      </c>
      <c r="AL1089" t="n">
        <v>2</v>
      </c>
      <c r="AM1089" t="n">
        <v>2</v>
      </c>
      <c r="AN1089" t="n">
        <v>7</v>
      </c>
      <c r="AO1089" t="n">
        <v>9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HYPERLINK("https://creighton-primo.hosted.exlibrisgroup.com/primo-explore/search?tab=default_tab&amp;search_scope=EVERYTHING&amp;vid=01CRU&amp;lang=en_US&amp;offset=0&amp;query=any,contains,991001632719702656","Catalog Record")</f>
        <v/>
      </c>
      <c r="AT1089">
        <f>HYPERLINK("http://www.worldcat.org/oclc/376964","WorldCat Record")</f>
        <v/>
      </c>
      <c r="AU1089" t="inlineStr">
        <is>
          <t>1471579:eng</t>
        </is>
      </c>
      <c r="AV1089" t="inlineStr">
        <is>
          <t>376964</t>
        </is>
      </c>
      <c r="AW1089" t="inlineStr">
        <is>
          <t>991001632719702656</t>
        </is>
      </c>
      <c r="AX1089" t="inlineStr">
        <is>
          <t>991001632719702656</t>
        </is>
      </c>
      <c r="AY1089" t="inlineStr">
        <is>
          <t>2263657740002656</t>
        </is>
      </c>
      <c r="AZ1089" t="inlineStr">
        <is>
          <t>BOOK</t>
        </is>
      </c>
      <c r="BC1089" t="inlineStr">
        <is>
          <t>32285003158804</t>
        </is>
      </c>
      <c r="BD1089" t="inlineStr">
        <is>
          <t>893340557</t>
        </is>
      </c>
    </row>
    <row r="1090">
      <c r="A1090" t="inlineStr">
        <is>
          <t>No</t>
        </is>
      </c>
      <c r="B1090" t="inlineStr">
        <is>
          <t>HV8073 .S733 1984</t>
        </is>
      </c>
      <c r="C1090" t="inlineStr">
        <is>
          <t>0                      HV 8073000S  733         1984</t>
        </is>
      </c>
      <c r="D1090" t="inlineStr">
        <is>
          <t>The time of the assassins / Claire Sterling.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K1090" t="inlineStr">
        <is>
          <t>Sterling, Claire.</t>
        </is>
      </c>
      <c r="L1090" t="inlineStr">
        <is>
          <t>New York : Holt, Rinehart, and Winston, 1984, c1983.</t>
        </is>
      </c>
      <c r="M1090" t="inlineStr">
        <is>
          <t>1984</t>
        </is>
      </c>
      <c r="N1090" t="inlineStr">
        <is>
          <t>1st ed.</t>
        </is>
      </c>
      <c r="O1090" t="inlineStr">
        <is>
          <t>eng</t>
        </is>
      </c>
      <c r="P1090" t="inlineStr">
        <is>
          <t>nyu</t>
        </is>
      </c>
      <c r="R1090" t="inlineStr">
        <is>
          <t xml:space="preserve">HV </t>
        </is>
      </c>
      <c r="S1090" t="n">
        <v>2</v>
      </c>
      <c r="T1090" t="n">
        <v>2</v>
      </c>
      <c r="U1090" t="inlineStr">
        <is>
          <t>2005-05-06</t>
        </is>
      </c>
      <c r="V1090" t="inlineStr">
        <is>
          <t>2005-05-06</t>
        </is>
      </c>
      <c r="W1090" t="inlineStr">
        <is>
          <t>1992-07-14</t>
        </is>
      </c>
      <c r="X1090" t="inlineStr">
        <is>
          <t>1992-07-14</t>
        </is>
      </c>
      <c r="Y1090" t="n">
        <v>715</v>
      </c>
      <c r="Z1090" t="n">
        <v>678</v>
      </c>
      <c r="AA1090" t="n">
        <v>716</v>
      </c>
      <c r="AB1090" t="n">
        <v>5</v>
      </c>
      <c r="AC1090" t="n">
        <v>5</v>
      </c>
      <c r="AD1090" t="n">
        <v>18</v>
      </c>
      <c r="AE1090" t="n">
        <v>22</v>
      </c>
      <c r="AF1090" t="n">
        <v>6</v>
      </c>
      <c r="AG1090" t="n">
        <v>7</v>
      </c>
      <c r="AH1090" t="n">
        <v>7</v>
      </c>
      <c r="AI1090" t="n">
        <v>8</v>
      </c>
      <c r="AJ1090" t="n">
        <v>15</v>
      </c>
      <c r="AK1090" t="n">
        <v>17</v>
      </c>
      <c r="AL1090" t="n">
        <v>0</v>
      </c>
      <c r="AM1090" t="n">
        <v>0</v>
      </c>
      <c r="AN1090" t="n">
        <v>0</v>
      </c>
      <c r="AO1090" t="n">
        <v>1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HYPERLINK("http://catalog.hathitrust.org/Record/000160108","HathiTrust Record")</f>
        <v/>
      </c>
      <c r="AS1090">
        <f>HYPERLINK("https://creighton-primo.hosted.exlibrisgroup.com/primo-explore/search?tab=default_tab&amp;search_scope=EVERYTHING&amp;vid=01CRU&amp;lang=en_US&amp;offset=0&amp;query=any,contains,991000274879702656","Catalog Record")</f>
        <v/>
      </c>
      <c r="AT1090">
        <f>HYPERLINK("http://www.worldcat.org/oclc/9894274","WorldCat Record")</f>
        <v/>
      </c>
      <c r="AU1090" t="inlineStr">
        <is>
          <t>367710501:eng</t>
        </is>
      </c>
      <c r="AV1090" t="inlineStr">
        <is>
          <t>9894274</t>
        </is>
      </c>
      <c r="AW1090" t="inlineStr">
        <is>
          <t>991000274879702656</t>
        </is>
      </c>
      <c r="AX1090" t="inlineStr">
        <is>
          <t>991000274879702656</t>
        </is>
      </c>
      <c r="AY1090" t="inlineStr">
        <is>
          <t>2262726210002656</t>
        </is>
      </c>
      <c r="AZ1090" t="inlineStr">
        <is>
          <t>BOOK</t>
        </is>
      </c>
      <c r="BB1090" t="inlineStr">
        <is>
          <t>9780030635540</t>
        </is>
      </c>
      <c r="BC1090" t="inlineStr">
        <is>
          <t>32285001182483</t>
        </is>
      </c>
      <c r="BD1090" t="inlineStr">
        <is>
          <t>893902954</t>
        </is>
      </c>
    </row>
    <row r="1091">
      <c r="A1091" t="inlineStr">
        <is>
          <t>No</t>
        </is>
      </c>
      <c r="B1091" t="inlineStr">
        <is>
          <t>HV8073.5 .H65 1989</t>
        </is>
      </c>
      <c r="C1091" t="inlineStr">
        <is>
          <t>0                      HV 8073500H  65          1989</t>
        </is>
      </c>
      <c r="D1091" t="inlineStr">
        <is>
          <t>Profiling violent crimes : an investigative tool / by Ronald M. Holmes.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K1091" t="inlineStr">
        <is>
          <t>Holmes, Ronald M.</t>
        </is>
      </c>
      <c r="L1091" t="inlineStr">
        <is>
          <t>Newbury Park, Calif. : Sage Publications, c1989.</t>
        </is>
      </c>
      <c r="M1091" t="inlineStr">
        <is>
          <t>1989</t>
        </is>
      </c>
      <c r="O1091" t="inlineStr">
        <is>
          <t>eng</t>
        </is>
      </c>
      <c r="P1091" t="inlineStr">
        <is>
          <t>cau</t>
        </is>
      </c>
      <c r="R1091" t="inlineStr">
        <is>
          <t xml:space="preserve">HV </t>
        </is>
      </c>
      <c r="S1091" t="n">
        <v>20</v>
      </c>
      <c r="T1091" t="n">
        <v>20</v>
      </c>
      <c r="U1091" t="inlineStr">
        <is>
          <t>2008-03-30</t>
        </is>
      </c>
      <c r="V1091" t="inlineStr">
        <is>
          <t>2008-03-30</t>
        </is>
      </c>
      <c r="W1091" t="inlineStr">
        <is>
          <t>1990-01-30</t>
        </is>
      </c>
      <c r="X1091" t="inlineStr">
        <is>
          <t>1990-01-30</t>
        </is>
      </c>
      <c r="Y1091" t="n">
        <v>447</v>
      </c>
      <c r="Z1091" t="n">
        <v>370</v>
      </c>
      <c r="AA1091" t="n">
        <v>886</v>
      </c>
      <c r="AB1091" t="n">
        <v>3</v>
      </c>
      <c r="AC1091" t="n">
        <v>9</v>
      </c>
      <c r="AD1091" t="n">
        <v>16</v>
      </c>
      <c r="AE1091" t="n">
        <v>40</v>
      </c>
      <c r="AF1091" t="n">
        <v>5</v>
      </c>
      <c r="AG1091" t="n">
        <v>13</v>
      </c>
      <c r="AH1091" t="n">
        <v>6</v>
      </c>
      <c r="AI1091" t="n">
        <v>10</v>
      </c>
      <c r="AJ1091" t="n">
        <v>7</v>
      </c>
      <c r="AK1091" t="n">
        <v>15</v>
      </c>
      <c r="AL1091" t="n">
        <v>2</v>
      </c>
      <c r="AM1091" t="n">
        <v>7</v>
      </c>
      <c r="AN1091" t="n">
        <v>1</v>
      </c>
      <c r="AO1091" t="n">
        <v>4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HYPERLINK("http://catalog.hathitrust.org/Record/001830683","HathiTrust Record")</f>
        <v/>
      </c>
      <c r="AS1091">
        <f>HYPERLINK("https://creighton-primo.hosted.exlibrisgroup.com/primo-explore/search?tab=default_tab&amp;search_scope=EVERYTHING&amp;vid=01CRU&amp;lang=en_US&amp;offset=0&amp;query=any,contains,991001548389702656","Catalog Record")</f>
        <v/>
      </c>
      <c r="AT1091">
        <f>HYPERLINK("http://www.worldcat.org/oclc/20172007","WorldCat Record")</f>
        <v/>
      </c>
      <c r="AU1091" t="inlineStr">
        <is>
          <t>898602:eng</t>
        </is>
      </c>
      <c r="AV1091" t="inlineStr">
        <is>
          <t>20172007</t>
        </is>
      </c>
      <c r="AW1091" t="inlineStr">
        <is>
          <t>991001548389702656</t>
        </is>
      </c>
      <c r="AX1091" t="inlineStr">
        <is>
          <t>991001548389702656</t>
        </is>
      </c>
      <c r="AY1091" t="inlineStr">
        <is>
          <t>2257834780002656</t>
        </is>
      </c>
      <c r="AZ1091" t="inlineStr">
        <is>
          <t>BOOK</t>
        </is>
      </c>
      <c r="BB1091" t="inlineStr">
        <is>
          <t>9780803936829</t>
        </is>
      </c>
      <c r="BC1091" t="inlineStr">
        <is>
          <t>32285000035781</t>
        </is>
      </c>
      <c r="BD1091" t="inlineStr">
        <is>
          <t>893439201</t>
        </is>
      </c>
    </row>
    <row r="1092">
      <c r="A1092" t="inlineStr">
        <is>
          <t>No</t>
        </is>
      </c>
      <c r="B1092" t="inlineStr">
        <is>
          <t>HV8078 .M36 1996</t>
        </is>
      </c>
      <c r="C1092" t="inlineStr">
        <is>
          <t>0                      HV 8078000M  36          1996</t>
        </is>
      </c>
      <c r="D1092" t="inlineStr">
        <is>
          <t>Forensic psychophysiology using the polygraph : scientific truth verification, lie detection / by James Allan Matté.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Matté, James Allan.</t>
        </is>
      </c>
      <c r="L1092" t="inlineStr">
        <is>
          <t>Williamsville, New York, U.S.A. : J.A.M. Publications, c1996.</t>
        </is>
      </c>
      <c r="M1092" t="inlineStr">
        <is>
          <t>1996</t>
        </is>
      </c>
      <c r="O1092" t="inlineStr">
        <is>
          <t>eng</t>
        </is>
      </c>
      <c r="P1092" t="inlineStr">
        <is>
          <t>nyu</t>
        </is>
      </c>
      <c r="R1092" t="inlineStr">
        <is>
          <t xml:space="preserve">HV </t>
        </is>
      </c>
      <c r="S1092" t="n">
        <v>20</v>
      </c>
      <c r="T1092" t="n">
        <v>20</v>
      </c>
      <c r="U1092" t="inlineStr">
        <is>
          <t>2009-11-14</t>
        </is>
      </c>
      <c r="V1092" t="inlineStr">
        <is>
          <t>2009-11-14</t>
        </is>
      </c>
      <c r="W1092" t="inlineStr">
        <is>
          <t>1998-03-26</t>
        </is>
      </c>
      <c r="X1092" t="inlineStr">
        <is>
          <t>1998-03-26</t>
        </is>
      </c>
      <c r="Y1092" t="n">
        <v>200</v>
      </c>
      <c r="Z1092" t="n">
        <v>183</v>
      </c>
      <c r="AA1092" t="n">
        <v>207</v>
      </c>
      <c r="AB1092" t="n">
        <v>2</v>
      </c>
      <c r="AC1092" t="n">
        <v>2</v>
      </c>
      <c r="AD1092" t="n">
        <v>7</v>
      </c>
      <c r="AE1092" t="n">
        <v>7</v>
      </c>
      <c r="AF1092" t="n">
        <v>2</v>
      </c>
      <c r="AG1092" t="n">
        <v>2</v>
      </c>
      <c r="AH1092" t="n">
        <v>2</v>
      </c>
      <c r="AI1092" t="n">
        <v>2</v>
      </c>
      <c r="AJ1092" t="n">
        <v>3</v>
      </c>
      <c r="AK1092" t="n">
        <v>3</v>
      </c>
      <c r="AL1092" t="n">
        <v>1</v>
      </c>
      <c r="AM1092" t="n">
        <v>1</v>
      </c>
      <c r="AN1092" t="n">
        <v>1</v>
      </c>
      <c r="AO1092" t="n">
        <v>1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HYPERLINK("https://creighton-primo.hosted.exlibrisgroup.com/primo-explore/search?tab=default_tab&amp;search_scope=EVERYTHING&amp;vid=01CRU&amp;lang=en_US&amp;offset=0&amp;query=any,contains,991002764839702656","Catalog Record")</f>
        <v/>
      </c>
      <c r="AT1092">
        <f>HYPERLINK("http://www.worldcat.org/oclc/36283551","WorldCat Record")</f>
        <v/>
      </c>
      <c r="AU1092" t="inlineStr">
        <is>
          <t>663678:eng</t>
        </is>
      </c>
      <c r="AV1092" t="inlineStr">
        <is>
          <t>36283551</t>
        </is>
      </c>
      <c r="AW1092" t="inlineStr">
        <is>
          <t>991002764839702656</t>
        </is>
      </c>
      <c r="AX1092" t="inlineStr">
        <is>
          <t>991002764839702656</t>
        </is>
      </c>
      <c r="AY1092" t="inlineStr">
        <is>
          <t>2272450870002656</t>
        </is>
      </c>
      <c r="AZ1092" t="inlineStr">
        <is>
          <t>BOOK</t>
        </is>
      </c>
      <c r="BB1092" t="inlineStr">
        <is>
          <t>9780965579407</t>
        </is>
      </c>
      <c r="BC1092" t="inlineStr">
        <is>
          <t>32285003381174</t>
        </is>
      </c>
      <c r="BD1092" t="inlineStr">
        <is>
          <t>893409501</t>
        </is>
      </c>
    </row>
    <row r="1093">
      <c r="A1093" t="inlineStr">
        <is>
          <t>No</t>
        </is>
      </c>
      <c r="B1093" t="inlineStr">
        <is>
          <t>HV8078 .P37</t>
        </is>
      </c>
      <c r="C1093" t="inlineStr">
        <is>
          <t>0                      HV 8078000P  37</t>
        </is>
      </c>
      <c r="D1093" t="inlineStr">
        <is>
          <t>Lie detection via the polygraph / compiled and written by Travis B. Patterson.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Patterson, Travis B.</t>
        </is>
      </c>
      <c r="L1093" t="inlineStr">
        <is>
          <t>South Lake Tahoe, Ca. : Marmaduke Press, c1979.</t>
        </is>
      </c>
      <c r="M1093" t="inlineStr">
        <is>
          <t>1979</t>
        </is>
      </c>
      <c r="O1093" t="inlineStr">
        <is>
          <t>eng</t>
        </is>
      </c>
      <c r="P1093" t="inlineStr">
        <is>
          <t>cau</t>
        </is>
      </c>
      <c r="R1093" t="inlineStr">
        <is>
          <t xml:space="preserve">HV </t>
        </is>
      </c>
      <c r="S1093" t="n">
        <v>28</v>
      </c>
      <c r="T1093" t="n">
        <v>28</v>
      </c>
      <c r="U1093" t="inlineStr">
        <is>
          <t>2009-11-14</t>
        </is>
      </c>
      <c r="V1093" t="inlineStr">
        <is>
          <t>2009-11-14</t>
        </is>
      </c>
      <c r="W1093" t="inlineStr">
        <is>
          <t>1998-03-06</t>
        </is>
      </c>
      <c r="X1093" t="inlineStr">
        <is>
          <t>1998-03-06</t>
        </is>
      </c>
      <c r="Y1093" t="n">
        <v>96</v>
      </c>
      <c r="Z1093" t="n">
        <v>96</v>
      </c>
      <c r="AA1093" t="n">
        <v>98</v>
      </c>
      <c r="AB1093" t="n">
        <v>1</v>
      </c>
      <c r="AC1093" t="n">
        <v>1</v>
      </c>
      <c r="AD1093" t="n">
        <v>4</v>
      </c>
      <c r="AE1093" t="n">
        <v>4</v>
      </c>
      <c r="AF1093" t="n">
        <v>0</v>
      </c>
      <c r="AG1093" t="n">
        <v>0</v>
      </c>
      <c r="AH1093" t="n">
        <v>0</v>
      </c>
      <c r="AI1093" t="n">
        <v>0</v>
      </c>
      <c r="AJ1093" t="n">
        <v>4</v>
      </c>
      <c r="AK1093" t="n">
        <v>4</v>
      </c>
      <c r="AL1093" t="n">
        <v>0</v>
      </c>
      <c r="AM1093" t="n">
        <v>0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HYPERLINK("http://catalog.hathitrust.org/Record/000024501","HathiTrust Record")</f>
        <v/>
      </c>
      <c r="AS1093">
        <f>HYPERLINK("https://creighton-primo.hosted.exlibrisgroup.com/primo-explore/search?tab=default_tab&amp;search_scope=EVERYTHING&amp;vid=01CRU&amp;lang=en_US&amp;offset=0&amp;query=any,contains,991004802979702656","Catalog Record")</f>
        <v/>
      </c>
      <c r="AT1093">
        <f>HYPERLINK("http://www.worldcat.org/oclc/5220773","WorldCat Record")</f>
        <v/>
      </c>
      <c r="AU1093" t="inlineStr">
        <is>
          <t>16445461:eng</t>
        </is>
      </c>
      <c r="AV1093" t="inlineStr">
        <is>
          <t>5220773</t>
        </is>
      </c>
      <c r="AW1093" t="inlineStr">
        <is>
          <t>991004802979702656</t>
        </is>
      </c>
      <c r="AX1093" t="inlineStr">
        <is>
          <t>991004802979702656</t>
        </is>
      </c>
      <c r="AY1093" t="inlineStr">
        <is>
          <t>2267450030002656</t>
        </is>
      </c>
      <c r="AZ1093" t="inlineStr">
        <is>
          <t>BOOK</t>
        </is>
      </c>
      <c r="BB1093" t="inlineStr">
        <is>
          <t>9780932344007</t>
        </is>
      </c>
      <c r="BC1093" t="inlineStr">
        <is>
          <t>32285003261160</t>
        </is>
      </c>
      <c r="BD1093" t="inlineStr">
        <is>
          <t>893801380</t>
        </is>
      </c>
    </row>
    <row r="1094">
      <c r="A1094" t="inlineStr">
        <is>
          <t>No</t>
        </is>
      </c>
      <c r="B1094" t="inlineStr">
        <is>
          <t>HV8078 .P65 1988</t>
        </is>
      </c>
      <c r="C1094" t="inlineStr">
        <is>
          <t>0                      HV 8078000P  65          1988</t>
        </is>
      </c>
      <c r="D1094" t="inlineStr">
        <is>
          <t>The Polygraph test : lies, truth and science / edited by Anthony Gale.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L1094" t="inlineStr">
        <is>
          <t>London ; Newbury Park, Calif. : Sage Publications in association with the British Psychological Society, 1988.</t>
        </is>
      </c>
      <c r="M1094" t="inlineStr">
        <is>
          <t>1988</t>
        </is>
      </c>
      <c r="O1094" t="inlineStr">
        <is>
          <t>eng</t>
        </is>
      </c>
      <c r="P1094" t="inlineStr">
        <is>
          <t>enk</t>
        </is>
      </c>
      <c r="R1094" t="inlineStr">
        <is>
          <t xml:space="preserve">HV </t>
        </is>
      </c>
      <c r="S1094" t="n">
        <v>36</v>
      </c>
      <c r="T1094" t="n">
        <v>36</v>
      </c>
      <c r="U1094" t="inlineStr">
        <is>
          <t>2009-11-14</t>
        </is>
      </c>
      <c r="V1094" t="inlineStr">
        <is>
          <t>2009-11-14</t>
        </is>
      </c>
      <c r="W1094" t="inlineStr">
        <is>
          <t>1990-04-04</t>
        </is>
      </c>
      <c r="X1094" t="inlineStr">
        <is>
          <t>1990-04-04</t>
        </is>
      </c>
      <c r="Y1094" t="n">
        <v>371</v>
      </c>
      <c r="Z1094" t="n">
        <v>237</v>
      </c>
      <c r="AA1094" t="n">
        <v>244</v>
      </c>
      <c r="AB1094" t="n">
        <v>1</v>
      </c>
      <c r="AC1094" t="n">
        <v>1</v>
      </c>
      <c r="AD1094" t="n">
        <v>13</v>
      </c>
      <c r="AE1094" t="n">
        <v>13</v>
      </c>
      <c r="AF1094" t="n">
        <v>3</v>
      </c>
      <c r="AG1094" t="n">
        <v>3</v>
      </c>
      <c r="AH1094" t="n">
        <v>4</v>
      </c>
      <c r="AI1094" t="n">
        <v>4</v>
      </c>
      <c r="AJ1094" t="n">
        <v>7</v>
      </c>
      <c r="AK1094" t="n">
        <v>7</v>
      </c>
      <c r="AL1094" t="n">
        <v>0</v>
      </c>
      <c r="AM1094" t="n">
        <v>0</v>
      </c>
      <c r="AN1094" t="n">
        <v>2</v>
      </c>
      <c r="AO1094" t="n">
        <v>2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HYPERLINK("http://catalog.hathitrust.org/Record/000911256","HathiTrust Record")</f>
        <v/>
      </c>
      <c r="AS1094">
        <f>HYPERLINK("https://creighton-primo.hosted.exlibrisgroup.com/primo-explore/search?tab=default_tab&amp;search_scope=EVERYTHING&amp;vid=01CRU&amp;lang=en_US&amp;offset=0&amp;query=any,contains,991001311199702656","Catalog Record")</f>
        <v/>
      </c>
      <c r="AT1094">
        <f>HYPERLINK("http://www.worldcat.org/oclc/18140503","WorldCat Record")</f>
        <v/>
      </c>
      <c r="AU1094" t="inlineStr">
        <is>
          <t>837250391:eng</t>
        </is>
      </c>
      <c r="AV1094" t="inlineStr">
        <is>
          <t>18140503</t>
        </is>
      </c>
      <c r="AW1094" t="inlineStr">
        <is>
          <t>991001311199702656</t>
        </is>
      </c>
      <c r="AX1094" t="inlineStr">
        <is>
          <t>991001311199702656</t>
        </is>
      </c>
      <c r="AY1094" t="inlineStr">
        <is>
          <t>2255321600002656</t>
        </is>
      </c>
      <c r="AZ1094" t="inlineStr">
        <is>
          <t>BOOK</t>
        </is>
      </c>
      <c r="BB1094" t="inlineStr">
        <is>
          <t>9780803981225</t>
        </is>
      </c>
      <c r="BC1094" t="inlineStr">
        <is>
          <t>32285000111285</t>
        </is>
      </c>
      <c r="BD1094" t="inlineStr">
        <is>
          <t>893791367</t>
        </is>
      </c>
    </row>
    <row r="1095">
      <c r="A1095" t="inlineStr">
        <is>
          <t>No</t>
        </is>
      </c>
      <c r="B1095" t="inlineStr">
        <is>
          <t>HV8079.C46 B47 1987</t>
        </is>
      </c>
      <c r="C1095" t="inlineStr">
        <is>
          <t>0                      HV 8079000C  46                 B  47          1987</t>
        </is>
      </c>
      <c r="D1095" t="inlineStr">
        <is>
          <t>Child abuse : a police guide / Douglas J. Besharov.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K1095" t="inlineStr">
        <is>
          <t>Besharov, Douglas J.</t>
        </is>
      </c>
      <c r="L1095" t="inlineStr">
        <is>
          <t>[Washington, D.C.] : Police Foundation : American Bar Association, National Legal Resource Center for Child Advocacy and Protection, c1987.</t>
        </is>
      </c>
      <c r="M1095" t="inlineStr">
        <is>
          <t>1987</t>
        </is>
      </c>
      <c r="O1095" t="inlineStr">
        <is>
          <t>eng</t>
        </is>
      </c>
      <c r="P1095" t="inlineStr">
        <is>
          <t>dcu</t>
        </is>
      </c>
      <c r="R1095" t="inlineStr">
        <is>
          <t xml:space="preserve">HV </t>
        </is>
      </c>
      <c r="S1095" t="n">
        <v>5</v>
      </c>
      <c r="T1095" t="n">
        <v>5</v>
      </c>
      <c r="U1095" t="inlineStr">
        <is>
          <t>2005-10-25</t>
        </is>
      </c>
      <c r="V1095" t="inlineStr">
        <is>
          <t>2005-10-25</t>
        </is>
      </c>
      <c r="W1095" t="inlineStr">
        <is>
          <t>1996-07-22</t>
        </is>
      </c>
      <c r="X1095" t="inlineStr">
        <is>
          <t>1996-07-22</t>
        </is>
      </c>
      <c r="Y1095" t="n">
        <v>126</v>
      </c>
      <c r="Z1095" t="n">
        <v>117</v>
      </c>
      <c r="AA1095" t="n">
        <v>135</v>
      </c>
      <c r="AB1095" t="n">
        <v>1</v>
      </c>
      <c r="AC1095" t="n">
        <v>1</v>
      </c>
      <c r="AD1095" t="n">
        <v>11</v>
      </c>
      <c r="AE1095" t="n">
        <v>12</v>
      </c>
      <c r="AF1095" t="n">
        <v>0</v>
      </c>
      <c r="AG1095" t="n">
        <v>0</v>
      </c>
      <c r="AH1095" t="n">
        <v>0</v>
      </c>
      <c r="AI1095" t="n">
        <v>0</v>
      </c>
      <c r="AJ1095" t="n">
        <v>0</v>
      </c>
      <c r="AK1095" t="n">
        <v>0</v>
      </c>
      <c r="AL1095" t="n">
        <v>0</v>
      </c>
      <c r="AM1095" t="n">
        <v>0</v>
      </c>
      <c r="AN1095" t="n">
        <v>11</v>
      </c>
      <c r="AO1095" t="n">
        <v>12</v>
      </c>
      <c r="AP1095" t="inlineStr">
        <is>
          <t>No</t>
        </is>
      </c>
      <c r="AQ1095" t="inlineStr">
        <is>
          <t>No</t>
        </is>
      </c>
      <c r="AS1095">
        <f>HYPERLINK("https://creighton-primo.hosted.exlibrisgroup.com/primo-explore/search?tab=default_tab&amp;search_scope=EVERYTHING&amp;vid=01CRU&amp;lang=en_US&amp;offset=0&amp;query=any,contains,991001125479702656","Catalog Record")</f>
        <v/>
      </c>
      <c r="AT1095">
        <f>HYPERLINK("http://www.worldcat.org/oclc/16648143","WorldCat Record")</f>
        <v/>
      </c>
      <c r="AU1095" t="inlineStr">
        <is>
          <t>36782471:eng</t>
        </is>
      </c>
      <c r="AV1095" t="inlineStr">
        <is>
          <t>16648143</t>
        </is>
      </c>
      <c r="AW1095" t="inlineStr">
        <is>
          <t>991001125479702656</t>
        </is>
      </c>
      <c r="AX1095" t="inlineStr">
        <is>
          <t>991001125479702656</t>
        </is>
      </c>
      <c r="AY1095" t="inlineStr">
        <is>
          <t>2265755940002656</t>
        </is>
      </c>
      <c r="AZ1095" t="inlineStr">
        <is>
          <t>BOOK</t>
        </is>
      </c>
      <c r="BB1095" t="inlineStr">
        <is>
          <t>9780897073240</t>
        </is>
      </c>
      <c r="BC1095" t="inlineStr">
        <is>
          <t>32285002207537</t>
        </is>
      </c>
      <c r="BD1095" t="inlineStr">
        <is>
          <t>893590039</t>
        </is>
      </c>
    </row>
    <row r="1096">
      <c r="A1096" t="inlineStr">
        <is>
          <t>No</t>
        </is>
      </c>
      <c r="B1096" t="inlineStr">
        <is>
          <t>HV8079.C46 B48 1990</t>
        </is>
      </c>
      <c r="C1096" t="inlineStr">
        <is>
          <t>0                      HV 8079000C  46                 B  48          1990</t>
        </is>
      </c>
      <c r="D1096" t="inlineStr">
        <is>
          <t>Recognizing child abuse : a guide for the concerned / Douglas J. Besharov.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Besharov, Douglas J.</t>
        </is>
      </c>
      <c r="L1096" t="inlineStr">
        <is>
          <t>New York : Free Press ; London : Collier Macmillan ; New York : Maxwell Macmillan, c1990.</t>
        </is>
      </c>
      <c r="M1096" t="inlineStr">
        <is>
          <t>1990</t>
        </is>
      </c>
      <c r="O1096" t="inlineStr">
        <is>
          <t>eng</t>
        </is>
      </c>
      <c r="P1096" t="inlineStr">
        <is>
          <t>nyu</t>
        </is>
      </c>
      <c r="R1096" t="inlineStr">
        <is>
          <t xml:space="preserve">HV </t>
        </is>
      </c>
      <c r="S1096" t="n">
        <v>18</v>
      </c>
      <c r="T1096" t="n">
        <v>18</v>
      </c>
      <c r="U1096" t="inlineStr">
        <is>
          <t>2004-06-30</t>
        </is>
      </c>
      <c r="V1096" t="inlineStr">
        <is>
          <t>2004-06-30</t>
        </is>
      </c>
      <c r="W1096" t="inlineStr">
        <is>
          <t>1991-03-21</t>
        </is>
      </c>
      <c r="X1096" t="inlineStr">
        <is>
          <t>1991-03-21</t>
        </is>
      </c>
      <c r="Y1096" t="n">
        <v>1131</v>
      </c>
      <c r="Z1096" t="n">
        <v>1029</v>
      </c>
      <c r="AA1096" t="n">
        <v>1038</v>
      </c>
      <c r="AB1096" t="n">
        <v>7</v>
      </c>
      <c r="AC1096" t="n">
        <v>7</v>
      </c>
      <c r="AD1096" t="n">
        <v>31</v>
      </c>
      <c r="AE1096" t="n">
        <v>31</v>
      </c>
      <c r="AF1096" t="n">
        <v>8</v>
      </c>
      <c r="AG1096" t="n">
        <v>8</v>
      </c>
      <c r="AH1096" t="n">
        <v>4</v>
      </c>
      <c r="AI1096" t="n">
        <v>4</v>
      </c>
      <c r="AJ1096" t="n">
        <v>10</v>
      </c>
      <c r="AK1096" t="n">
        <v>10</v>
      </c>
      <c r="AL1096" t="n">
        <v>4</v>
      </c>
      <c r="AM1096" t="n">
        <v>4</v>
      </c>
      <c r="AN1096" t="n">
        <v>9</v>
      </c>
      <c r="AO1096" t="n">
        <v>9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HYPERLINK("http://catalog.hathitrust.org/Record/002228066","HathiTrust Record")</f>
        <v/>
      </c>
      <c r="AS1096">
        <f>HYPERLINK("https://creighton-primo.hosted.exlibrisgroup.com/primo-explore/search?tab=default_tab&amp;search_scope=EVERYTHING&amp;vid=01CRU&amp;lang=en_US&amp;offset=0&amp;query=any,contains,991001602379702656","Catalog Record")</f>
        <v/>
      </c>
      <c r="AT1096">
        <f>HYPERLINK("http://www.worldcat.org/oclc/20671624","WorldCat Record")</f>
        <v/>
      </c>
      <c r="AU1096" t="inlineStr">
        <is>
          <t>1059641:eng</t>
        </is>
      </c>
      <c r="AV1096" t="inlineStr">
        <is>
          <t>20671624</t>
        </is>
      </c>
      <c r="AW1096" t="inlineStr">
        <is>
          <t>991001602379702656</t>
        </is>
      </c>
      <c r="AX1096" t="inlineStr">
        <is>
          <t>991001602379702656</t>
        </is>
      </c>
      <c r="AY1096" t="inlineStr">
        <is>
          <t>2260286500002656</t>
        </is>
      </c>
      <c r="AZ1096" t="inlineStr">
        <is>
          <t>BOOK</t>
        </is>
      </c>
      <c r="BB1096" t="inlineStr">
        <is>
          <t>9780029030820</t>
        </is>
      </c>
      <c r="BC1096" t="inlineStr">
        <is>
          <t>32285000512672</t>
        </is>
      </c>
      <c r="BD1096" t="inlineStr">
        <is>
          <t>893797660</t>
        </is>
      </c>
    </row>
    <row r="1097">
      <c r="A1097" t="inlineStr">
        <is>
          <t>No</t>
        </is>
      </c>
      <c r="B1097" t="inlineStr">
        <is>
          <t>HV8079.C46 W48 1990</t>
        </is>
      </c>
      <c r="C1097" t="inlineStr">
        <is>
          <t>0                      HV 8079000C  46                 W  48          1990</t>
        </is>
      </c>
      <c r="D1097" t="inlineStr">
        <is>
          <t>Wounded innocents : the real victims of the war against child abuse / Richard Wexler.</t>
        </is>
      </c>
      <c r="F1097" t="inlineStr">
        <is>
          <t>No</t>
        </is>
      </c>
      <c r="G1097" t="inlineStr">
        <is>
          <t>1</t>
        </is>
      </c>
      <c r="H1097" t="inlineStr">
        <is>
          <t>Yes</t>
        </is>
      </c>
      <c r="I1097" t="inlineStr">
        <is>
          <t>Yes</t>
        </is>
      </c>
      <c r="J1097" t="inlineStr">
        <is>
          <t>0</t>
        </is>
      </c>
      <c r="K1097" t="inlineStr">
        <is>
          <t>Wexler, Richard, 1953-</t>
        </is>
      </c>
      <c r="L1097" t="inlineStr">
        <is>
          <t>Buffalo, N.Y. : Prometheus Books, c1990.</t>
        </is>
      </c>
      <c r="M1097" t="inlineStr">
        <is>
          <t>1990</t>
        </is>
      </c>
      <c r="O1097" t="inlineStr">
        <is>
          <t>eng</t>
        </is>
      </c>
      <c r="P1097" t="inlineStr">
        <is>
          <t>nyu</t>
        </is>
      </c>
      <c r="R1097" t="inlineStr">
        <is>
          <t xml:space="preserve">HV </t>
        </is>
      </c>
      <c r="S1097" t="n">
        <v>6</v>
      </c>
      <c r="T1097" t="n">
        <v>13</v>
      </c>
      <c r="U1097" t="inlineStr">
        <is>
          <t>2004-06-30</t>
        </is>
      </c>
      <c r="V1097" t="inlineStr">
        <is>
          <t>2004-08-13</t>
        </is>
      </c>
      <c r="W1097" t="inlineStr">
        <is>
          <t>1991-04-09</t>
        </is>
      </c>
      <c r="X1097" t="inlineStr">
        <is>
          <t>1992-01-20</t>
        </is>
      </c>
      <c r="Y1097" t="n">
        <v>903</v>
      </c>
      <c r="Z1097" t="n">
        <v>844</v>
      </c>
      <c r="AA1097" t="n">
        <v>1047</v>
      </c>
      <c r="AB1097" t="n">
        <v>8</v>
      </c>
      <c r="AC1097" t="n">
        <v>12</v>
      </c>
      <c r="AD1097" t="n">
        <v>28</v>
      </c>
      <c r="AE1097" t="n">
        <v>34</v>
      </c>
      <c r="AF1097" t="n">
        <v>4</v>
      </c>
      <c r="AG1097" t="n">
        <v>6</v>
      </c>
      <c r="AH1097" t="n">
        <v>6</v>
      </c>
      <c r="AI1097" t="n">
        <v>7</v>
      </c>
      <c r="AJ1097" t="n">
        <v>8</v>
      </c>
      <c r="AK1097" t="n">
        <v>11</v>
      </c>
      <c r="AL1097" t="n">
        <v>5</v>
      </c>
      <c r="AM1097" t="n">
        <v>7</v>
      </c>
      <c r="AN1097" t="n">
        <v>8</v>
      </c>
      <c r="AO1097" t="n">
        <v>8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HYPERLINK("http://catalog.hathitrust.org/Record/002235343","HathiTrust Record")</f>
        <v/>
      </c>
      <c r="AS1097">
        <f>HYPERLINK("https://creighton-primo.hosted.exlibrisgroup.com/primo-explore/search?tab=default_tab&amp;search_scope=EVERYTHING&amp;vid=01CRU&amp;lang=en_US&amp;offset=0&amp;query=any,contains,991001681379702656","Catalog Record")</f>
        <v/>
      </c>
      <c r="AT1097">
        <f>HYPERLINK("http://www.worldcat.org/oclc/21870351","WorldCat Record")</f>
        <v/>
      </c>
      <c r="AU1097" t="inlineStr">
        <is>
          <t>930469:eng</t>
        </is>
      </c>
      <c r="AV1097" t="inlineStr">
        <is>
          <t>21870351</t>
        </is>
      </c>
      <c r="AW1097" t="inlineStr">
        <is>
          <t>991001681379702656</t>
        </is>
      </c>
      <c r="AX1097" t="inlineStr">
        <is>
          <t>991001681379702656</t>
        </is>
      </c>
      <c r="AY1097" t="inlineStr">
        <is>
          <t>2272080340002656</t>
        </is>
      </c>
      <c r="AZ1097" t="inlineStr">
        <is>
          <t>BOOK</t>
        </is>
      </c>
      <c r="BB1097" t="inlineStr">
        <is>
          <t>9780879756024</t>
        </is>
      </c>
      <c r="BC1097" t="inlineStr">
        <is>
          <t>32285000566561</t>
        </is>
      </c>
      <c r="BD1097" t="inlineStr">
        <is>
          <t>893256405</t>
        </is>
      </c>
    </row>
    <row r="1098">
      <c r="A1098" t="inlineStr">
        <is>
          <t>No</t>
        </is>
      </c>
      <c r="B1098" t="inlineStr">
        <is>
          <t>HV8079.C48 A54 1998</t>
        </is>
      </c>
      <c r="C1098" t="inlineStr">
        <is>
          <t>0                      HV 8079000C  48                 A  54          1998</t>
        </is>
      </c>
      <c r="D1098" t="inlineStr">
        <is>
          <t>Interviewing children : a guide for child care and forensic practitioners / Michelle Aldridge and Joanne Wood.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Aldridge, Michelle.</t>
        </is>
      </c>
      <c r="L1098" t="inlineStr">
        <is>
          <t>Chichester ; New York : Wiley, c1998.</t>
        </is>
      </c>
      <c r="M1098" t="inlineStr">
        <is>
          <t>1998</t>
        </is>
      </c>
      <c r="O1098" t="inlineStr">
        <is>
          <t>eng</t>
        </is>
      </c>
      <c r="P1098" t="inlineStr">
        <is>
          <t>enk</t>
        </is>
      </c>
      <c r="Q1098" t="inlineStr">
        <is>
          <t>Wiley series in child care and protection</t>
        </is>
      </c>
      <c r="R1098" t="inlineStr">
        <is>
          <t xml:space="preserve">HV </t>
        </is>
      </c>
      <c r="S1098" t="n">
        <v>2</v>
      </c>
      <c r="T1098" t="n">
        <v>2</v>
      </c>
      <c r="U1098" t="inlineStr">
        <is>
          <t>2009-11-14</t>
        </is>
      </c>
      <c r="V1098" t="inlineStr">
        <is>
          <t>2009-11-14</t>
        </is>
      </c>
      <c r="W1098" t="inlineStr">
        <is>
          <t>2004-04-12</t>
        </is>
      </c>
      <c r="X1098" t="inlineStr">
        <is>
          <t>2004-04-12</t>
        </is>
      </c>
      <c r="Y1098" t="n">
        <v>279</v>
      </c>
      <c r="Z1098" t="n">
        <v>145</v>
      </c>
      <c r="AA1098" t="n">
        <v>991</v>
      </c>
      <c r="AB1098" t="n">
        <v>2</v>
      </c>
      <c r="AC1098" t="n">
        <v>4</v>
      </c>
      <c r="AD1098" t="n">
        <v>4</v>
      </c>
      <c r="AE1098" t="n">
        <v>19</v>
      </c>
      <c r="AF1098" t="n">
        <v>2</v>
      </c>
      <c r="AG1098" t="n">
        <v>12</v>
      </c>
      <c r="AH1098" t="n">
        <v>0</v>
      </c>
      <c r="AI1098" t="n">
        <v>2</v>
      </c>
      <c r="AJ1098" t="n">
        <v>2</v>
      </c>
      <c r="AK1098" t="n">
        <v>8</v>
      </c>
      <c r="AL1098" t="n">
        <v>1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Yes</t>
        </is>
      </c>
      <c r="AR1098">
        <f>HYPERLINK("http://catalog.hathitrust.org/Record/004028173","HathiTrust Record")</f>
        <v/>
      </c>
      <c r="AS1098">
        <f>HYPERLINK("https://creighton-primo.hosted.exlibrisgroup.com/primo-explore/search?tab=default_tab&amp;search_scope=EVERYTHING&amp;vid=01CRU&amp;lang=en_US&amp;offset=0&amp;query=any,contains,991004265579702656","Catalog Record")</f>
        <v/>
      </c>
      <c r="AT1098">
        <f>HYPERLINK("http://www.worldcat.org/oclc/39354290","WorldCat Record")</f>
        <v/>
      </c>
      <c r="AU1098" t="inlineStr">
        <is>
          <t>1020743:eng</t>
        </is>
      </c>
      <c r="AV1098" t="inlineStr">
        <is>
          <t>39354290</t>
        </is>
      </c>
      <c r="AW1098" t="inlineStr">
        <is>
          <t>991004265579702656</t>
        </is>
      </c>
      <c r="AX1098" t="inlineStr">
        <is>
          <t>991004265579702656</t>
        </is>
      </c>
      <c r="AY1098" t="inlineStr">
        <is>
          <t>2255157930002656</t>
        </is>
      </c>
      <c r="AZ1098" t="inlineStr">
        <is>
          <t>BOOK</t>
        </is>
      </c>
      <c r="BB1098" t="inlineStr">
        <is>
          <t>9780471970521</t>
        </is>
      </c>
      <c r="BC1098" t="inlineStr">
        <is>
          <t>32285004898838</t>
        </is>
      </c>
      <c r="BD1098" t="inlineStr">
        <is>
          <t>893700041</t>
        </is>
      </c>
    </row>
    <row r="1099">
      <c r="A1099" t="inlineStr">
        <is>
          <t>No</t>
        </is>
      </c>
      <c r="B1099" t="inlineStr">
        <is>
          <t>HV8079.C48 M36 1995</t>
        </is>
      </c>
      <c r="C1099" t="inlineStr">
        <is>
          <t>0                      HV 8079000C  48                 M  36          1995</t>
        </is>
      </c>
      <c r="D1099" t="inlineStr">
        <is>
          <t>Child eyewitness testimony in sexual abuse investigations / Bruce E. Mapes.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Mapes, Bruce E., 1946-</t>
        </is>
      </c>
      <c r="L1099" t="inlineStr">
        <is>
          <t>Brandon, Vt. : Clinical Psychology Pub. Co., c1995.</t>
        </is>
      </c>
      <c r="M1099" t="inlineStr">
        <is>
          <t>1995</t>
        </is>
      </c>
      <c r="O1099" t="inlineStr">
        <is>
          <t>eng</t>
        </is>
      </c>
      <c r="P1099" t="inlineStr">
        <is>
          <t>vtu</t>
        </is>
      </c>
      <c r="R1099" t="inlineStr">
        <is>
          <t xml:space="preserve">HV </t>
        </is>
      </c>
      <c r="S1099" t="n">
        <v>9</v>
      </c>
      <c r="T1099" t="n">
        <v>9</v>
      </c>
      <c r="U1099" t="inlineStr">
        <is>
          <t>2010-11-01</t>
        </is>
      </c>
      <c r="V1099" t="inlineStr">
        <is>
          <t>2010-11-01</t>
        </is>
      </c>
      <c r="W1099" t="inlineStr">
        <is>
          <t>1996-09-11</t>
        </is>
      </c>
      <c r="X1099" t="inlineStr">
        <is>
          <t>1996-09-11</t>
        </is>
      </c>
      <c r="Y1099" t="n">
        <v>211</v>
      </c>
      <c r="Z1099" t="n">
        <v>153</v>
      </c>
      <c r="AA1099" t="n">
        <v>159</v>
      </c>
      <c r="AB1099" t="n">
        <v>1</v>
      </c>
      <c r="AC1099" t="n">
        <v>1</v>
      </c>
      <c r="AD1099" t="n">
        <v>7</v>
      </c>
      <c r="AE1099" t="n">
        <v>7</v>
      </c>
      <c r="AF1099" t="n">
        <v>5</v>
      </c>
      <c r="AG1099" t="n">
        <v>5</v>
      </c>
      <c r="AH1099" t="n">
        <v>1</v>
      </c>
      <c r="AI1099" t="n">
        <v>1</v>
      </c>
      <c r="AJ1099" t="n">
        <v>4</v>
      </c>
      <c r="AK1099" t="n">
        <v>4</v>
      </c>
      <c r="AL1099" t="n">
        <v>0</v>
      </c>
      <c r="AM1099" t="n">
        <v>0</v>
      </c>
      <c r="AN1099" t="n">
        <v>1</v>
      </c>
      <c r="AO1099" t="n">
        <v>1</v>
      </c>
      <c r="AP1099" t="inlineStr">
        <is>
          <t>No</t>
        </is>
      </c>
      <c r="AQ1099" t="inlineStr">
        <is>
          <t>Yes</t>
        </is>
      </c>
      <c r="AR1099">
        <f>HYPERLINK("http://catalog.hathitrust.org/Record/003085352","HathiTrust Record")</f>
        <v/>
      </c>
      <c r="AS1099">
        <f>HYPERLINK("https://creighton-primo.hosted.exlibrisgroup.com/primo-explore/search?tab=default_tab&amp;search_scope=EVERYTHING&amp;vid=01CRU&amp;lang=en_US&amp;offset=0&amp;query=any,contains,991002422399702656","Catalog Record")</f>
        <v/>
      </c>
      <c r="AT1099">
        <f>HYPERLINK("http://www.worldcat.org/oclc/31604608","WorldCat Record")</f>
        <v/>
      </c>
      <c r="AU1099" t="inlineStr">
        <is>
          <t>18423893:eng</t>
        </is>
      </c>
      <c r="AV1099" t="inlineStr">
        <is>
          <t>31604608</t>
        </is>
      </c>
      <c r="AW1099" t="inlineStr">
        <is>
          <t>991002422399702656</t>
        </is>
      </c>
      <c r="AX1099" t="inlineStr">
        <is>
          <t>991002422399702656</t>
        </is>
      </c>
      <c r="AY1099" t="inlineStr">
        <is>
          <t>2270951300002656</t>
        </is>
      </c>
      <c r="AZ1099" t="inlineStr">
        <is>
          <t>BOOK</t>
        </is>
      </c>
      <c r="BB1099" t="inlineStr">
        <is>
          <t>9780884221548</t>
        </is>
      </c>
      <c r="BC1099" t="inlineStr">
        <is>
          <t>32285002317021</t>
        </is>
      </c>
      <c r="BD1099" t="inlineStr">
        <is>
          <t>893792447</t>
        </is>
      </c>
    </row>
    <row r="1100">
      <c r="A1100" t="inlineStr">
        <is>
          <t>No</t>
        </is>
      </c>
      <c r="B1100" t="inlineStr">
        <is>
          <t>HV8079.C48 W35 1988</t>
        </is>
      </c>
      <c r="C1100" t="inlineStr">
        <is>
          <t>0                      HV 8079000C  48                 W  35          1988</t>
        </is>
      </c>
      <c r="D1100" t="inlineStr">
        <is>
          <t>Accusations of child sexual abuse / by Hollida Wakefield and Ralph Underwager, with Ross Legrand, Joseph Erickson, Christine Samples Bartz ; introduction by Douglas J. Besharov ; foreword by Brook Hart and Anthony Bartholomew.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Wakefield, Hollida.</t>
        </is>
      </c>
      <c r="L1100" t="inlineStr">
        <is>
          <t>Springfield, Ill., U.S.A. : C.C. Thomas, c1988.</t>
        </is>
      </c>
      <c r="M1100" t="inlineStr">
        <is>
          <t>1988</t>
        </is>
      </c>
      <c r="O1100" t="inlineStr">
        <is>
          <t>eng</t>
        </is>
      </c>
      <c r="P1100" t="inlineStr">
        <is>
          <t>ilu</t>
        </is>
      </c>
      <c r="R1100" t="inlineStr">
        <is>
          <t xml:space="preserve">HV </t>
        </is>
      </c>
      <c r="S1100" t="n">
        <v>12</v>
      </c>
      <c r="T1100" t="n">
        <v>12</v>
      </c>
      <c r="U1100" t="inlineStr">
        <is>
          <t>1999-02-16</t>
        </is>
      </c>
      <c r="V1100" t="inlineStr">
        <is>
          <t>1999-02-16</t>
        </is>
      </c>
      <c r="W1100" t="inlineStr">
        <is>
          <t>1996-07-30</t>
        </is>
      </c>
      <c r="X1100" t="inlineStr">
        <is>
          <t>1996-07-30</t>
        </is>
      </c>
      <c r="Y1100" t="n">
        <v>395</v>
      </c>
      <c r="Z1100" t="n">
        <v>338</v>
      </c>
      <c r="AA1100" t="n">
        <v>496</v>
      </c>
      <c r="AB1100" t="n">
        <v>3</v>
      </c>
      <c r="AC1100" t="n">
        <v>3</v>
      </c>
      <c r="AD1100" t="n">
        <v>13</v>
      </c>
      <c r="AE1100" t="n">
        <v>19</v>
      </c>
      <c r="AF1100" t="n">
        <v>4</v>
      </c>
      <c r="AG1100" t="n">
        <v>6</v>
      </c>
      <c r="AH1100" t="n">
        <v>3</v>
      </c>
      <c r="AI1100" t="n">
        <v>7</v>
      </c>
      <c r="AJ1100" t="n">
        <v>7</v>
      </c>
      <c r="AK1100" t="n">
        <v>9</v>
      </c>
      <c r="AL1100" t="n">
        <v>2</v>
      </c>
      <c r="AM1100" t="n">
        <v>2</v>
      </c>
      <c r="AN1100" t="n">
        <v>1</v>
      </c>
      <c r="AO1100" t="n">
        <v>1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HYPERLINK("http://catalog.hathitrust.org/Record/000914110","HathiTrust Record")</f>
        <v/>
      </c>
      <c r="AS1100">
        <f>HYPERLINK("https://creighton-primo.hosted.exlibrisgroup.com/primo-explore/search?tab=default_tab&amp;search_scope=EVERYTHING&amp;vid=01CRU&amp;lang=en_US&amp;offset=0&amp;query=any,contains,991001161539702656","Catalog Record")</f>
        <v/>
      </c>
      <c r="AT1100">
        <f>HYPERLINK("http://www.worldcat.org/oclc/16900688","WorldCat Record")</f>
        <v/>
      </c>
      <c r="AU1100" t="inlineStr">
        <is>
          <t>13077449:eng</t>
        </is>
      </c>
      <c r="AV1100" t="inlineStr">
        <is>
          <t>16900688</t>
        </is>
      </c>
      <c r="AW1100" t="inlineStr">
        <is>
          <t>991001161539702656</t>
        </is>
      </c>
      <c r="AX1100" t="inlineStr">
        <is>
          <t>991001161539702656</t>
        </is>
      </c>
      <c r="AY1100" t="inlineStr">
        <is>
          <t>2266628550002656</t>
        </is>
      </c>
      <c r="AZ1100" t="inlineStr">
        <is>
          <t>BOOK</t>
        </is>
      </c>
      <c r="BB1100" t="inlineStr">
        <is>
          <t>9780398054236</t>
        </is>
      </c>
      <c r="BC1100" t="inlineStr">
        <is>
          <t>32285002208766</t>
        </is>
      </c>
      <c r="BD1100" t="inlineStr">
        <is>
          <t>893420129</t>
        </is>
      </c>
    </row>
    <row r="1101">
      <c r="A1101" t="inlineStr">
        <is>
          <t>No</t>
        </is>
      </c>
      <c r="B1101" t="inlineStr">
        <is>
          <t>HV8079.H6 B4613 2005</t>
        </is>
      </c>
      <c r="C1101" t="inlineStr">
        <is>
          <t>0                      HV 8079000H  6                  B  4613        2005</t>
        </is>
      </c>
      <c r="D1101" t="inlineStr">
        <is>
          <t>Murderous methods : using forensic science to solve lethal crimes / Mark Benecke ; translated by Karin Heusch.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Benecke, Mark.</t>
        </is>
      </c>
      <c r="L1101" t="inlineStr">
        <is>
          <t>New York : Columbia University Press, 2005.</t>
        </is>
      </c>
      <c r="M1101" t="inlineStr">
        <is>
          <t>2005</t>
        </is>
      </c>
      <c r="N1101" t="inlineStr">
        <is>
          <t>English-language ed.</t>
        </is>
      </c>
      <c r="O1101" t="inlineStr">
        <is>
          <t>eng</t>
        </is>
      </c>
      <c r="P1101" t="inlineStr">
        <is>
          <t>nyu</t>
        </is>
      </c>
      <c r="R1101" t="inlineStr">
        <is>
          <t xml:space="preserve">HV </t>
        </is>
      </c>
      <c r="S1101" t="n">
        <v>1</v>
      </c>
      <c r="T1101" t="n">
        <v>1</v>
      </c>
      <c r="U1101" t="inlineStr">
        <is>
          <t>2005-12-05</t>
        </is>
      </c>
      <c r="V1101" t="inlineStr">
        <is>
          <t>2005-12-05</t>
        </is>
      </c>
      <c r="W1101" t="inlineStr">
        <is>
          <t>2005-12-05</t>
        </is>
      </c>
      <c r="X1101" t="inlineStr">
        <is>
          <t>2005-12-05</t>
        </is>
      </c>
      <c r="Y1101" t="n">
        <v>756</v>
      </c>
      <c r="Z1101" t="n">
        <v>689</v>
      </c>
      <c r="AA1101" t="n">
        <v>718</v>
      </c>
      <c r="AB1101" t="n">
        <v>7</v>
      </c>
      <c r="AC1101" t="n">
        <v>7</v>
      </c>
      <c r="AD1101" t="n">
        <v>22</v>
      </c>
      <c r="AE1101" t="n">
        <v>22</v>
      </c>
      <c r="AF1101" t="n">
        <v>4</v>
      </c>
      <c r="AG1101" t="n">
        <v>4</v>
      </c>
      <c r="AH1101" t="n">
        <v>4</v>
      </c>
      <c r="AI1101" t="n">
        <v>4</v>
      </c>
      <c r="AJ1101" t="n">
        <v>11</v>
      </c>
      <c r="AK1101" t="n">
        <v>11</v>
      </c>
      <c r="AL1101" t="n">
        <v>6</v>
      </c>
      <c r="AM1101" t="n">
        <v>6</v>
      </c>
      <c r="AN1101" t="n">
        <v>1</v>
      </c>
      <c r="AO1101" t="n">
        <v>1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HYPERLINK("https://creighton-primo.hosted.exlibrisgroup.com/primo-explore/search?tab=default_tab&amp;search_scope=EVERYTHING&amp;vid=01CRU&amp;lang=en_US&amp;offset=0&amp;query=any,contains,991004693359702656","Catalog Record")</f>
        <v/>
      </c>
      <c r="AT1101">
        <f>HYPERLINK("http://www.worldcat.org/oclc/58599750","WorldCat Record")</f>
        <v/>
      </c>
      <c r="AU1101" t="inlineStr">
        <is>
          <t>10567380161:eng</t>
        </is>
      </c>
      <c r="AV1101" t="inlineStr">
        <is>
          <t>58599750</t>
        </is>
      </c>
      <c r="AW1101" t="inlineStr">
        <is>
          <t>991004693359702656</t>
        </is>
      </c>
      <c r="AX1101" t="inlineStr">
        <is>
          <t>991004693359702656</t>
        </is>
      </c>
      <c r="AY1101" t="inlineStr">
        <is>
          <t>2272296590002656</t>
        </is>
      </c>
      <c r="AZ1101" t="inlineStr">
        <is>
          <t>BOOK</t>
        </is>
      </c>
      <c r="BB1101" t="inlineStr">
        <is>
          <t>9780231131186</t>
        </is>
      </c>
      <c r="BC1101" t="inlineStr">
        <is>
          <t>32285005150809</t>
        </is>
      </c>
      <c r="BD1101" t="inlineStr">
        <is>
          <t>893436605</t>
        </is>
      </c>
    </row>
    <row r="1102">
      <c r="A1102" t="inlineStr">
        <is>
          <t>No</t>
        </is>
      </c>
      <c r="B1102" t="inlineStr">
        <is>
          <t>HV8079.H6 E93 2004</t>
        </is>
      </c>
      <c r="C1102" t="inlineStr">
        <is>
          <t>0                      HV 8079000H  6                  E  93          2004</t>
        </is>
      </c>
      <c r="D1102" t="inlineStr">
        <is>
          <t>Murder two : the second casebook of forensic detection / Colin Evans.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Evans, Colin, 1948-</t>
        </is>
      </c>
      <c r="L1102" t="inlineStr">
        <is>
          <t>Hoboken, New Jersey : John Wiley &amp; Sons, c2004.</t>
        </is>
      </c>
      <c r="M1102" t="inlineStr">
        <is>
          <t>2004</t>
        </is>
      </c>
      <c r="O1102" t="inlineStr">
        <is>
          <t>eng</t>
        </is>
      </c>
      <c r="P1102" t="inlineStr">
        <is>
          <t>nju</t>
        </is>
      </c>
      <c r="R1102" t="inlineStr">
        <is>
          <t xml:space="preserve">HV </t>
        </is>
      </c>
      <c r="S1102" t="n">
        <v>3</v>
      </c>
      <c r="T1102" t="n">
        <v>3</v>
      </c>
      <c r="U1102" t="inlineStr">
        <is>
          <t>2006-09-15</t>
        </is>
      </c>
      <c r="V1102" t="inlineStr">
        <is>
          <t>2006-09-15</t>
        </is>
      </c>
      <c r="W1102" t="inlineStr">
        <is>
          <t>2006-07-24</t>
        </is>
      </c>
      <c r="X1102" t="inlineStr">
        <is>
          <t>2006-07-24</t>
        </is>
      </c>
      <c r="Y1102" t="n">
        <v>742</v>
      </c>
      <c r="Z1102" t="n">
        <v>648</v>
      </c>
      <c r="AA1102" t="n">
        <v>1056</v>
      </c>
      <c r="AB1102" t="n">
        <v>7</v>
      </c>
      <c r="AC1102" t="n">
        <v>34</v>
      </c>
      <c r="AD1102" t="n">
        <v>23</v>
      </c>
      <c r="AE1102" t="n">
        <v>37</v>
      </c>
      <c r="AF1102" t="n">
        <v>13</v>
      </c>
      <c r="AG1102" t="n">
        <v>16</v>
      </c>
      <c r="AH1102" t="n">
        <v>3</v>
      </c>
      <c r="AI1102" t="n">
        <v>3</v>
      </c>
      <c r="AJ1102" t="n">
        <v>11</v>
      </c>
      <c r="AK1102" t="n">
        <v>13</v>
      </c>
      <c r="AL1102" t="n">
        <v>4</v>
      </c>
      <c r="AM1102" t="n">
        <v>13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HYPERLINK("http://catalog.hathitrust.org/Record/004957456","HathiTrust Record")</f>
        <v/>
      </c>
      <c r="AS1102">
        <f>HYPERLINK("https://creighton-primo.hosted.exlibrisgroup.com/primo-explore/search?tab=default_tab&amp;search_scope=EVERYTHING&amp;vid=01CRU&amp;lang=en_US&amp;offset=0&amp;query=any,contains,991004853369702656","Catalog Record")</f>
        <v/>
      </c>
      <c r="AT1102">
        <f>HYPERLINK("http://www.worldcat.org/oclc/53443269","WorldCat Record")</f>
        <v/>
      </c>
      <c r="AU1102" t="inlineStr">
        <is>
          <t>863925969:eng</t>
        </is>
      </c>
      <c r="AV1102" t="inlineStr">
        <is>
          <t>53443269</t>
        </is>
      </c>
      <c r="AW1102" t="inlineStr">
        <is>
          <t>991004853369702656</t>
        </is>
      </c>
      <c r="AX1102" t="inlineStr">
        <is>
          <t>991004853369702656</t>
        </is>
      </c>
      <c r="AY1102" t="inlineStr">
        <is>
          <t>2270870980002656</t>
        </is>
      </c>
      <c r="AZ1102" t="inlineStr">
        <is>
          <t>BOOK</t>
        </is>
      </c>
      <c r="BB1102" t="inlineStr">
        <is>
          <t>9780471215325</t>
        </is>
      </c>
      <c r="BC1102" t="inlineStr">
        <is>
          <t>32285005197438</t>
        </is>
      </c>
      <c r="BD1102" t="inlineStr">
        <is>
          <t>893694409</t>
        </is>
      </c>
    </row>
    <row r="1103">
      <c r="A1103" t="inlineStr">
        <is>
          <t>No</t>
        </is>
      </c>
      <c r="B1103" t="inlineStr">
        <is>
          <t>HV8079.H6 M66 2003</t>
        </is>
      </c>
      <c r="C1103" t="inlineStr">
        <is>
          <t>0                      HV 8079000H  6                  M  66          2003</t>
        </is>
      </c>
      <c r="D1103" t="inlineStr">
        <is>
          <t>Three weeks in October : the manhunt for the serial sniper / Charles A. Moose and Charles Fleming.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Moose, Charles A. (Charles Alexander)</t>
        </is>
      </c>
      <c r="L1103" t="inlineStr">
        <is>
          <t>New York : Dutton, c2003.</t>
        </is>
      </c>
      <c r="M1103" t="inlineStr">
        <is>
          <t>2003</t>
        </is>
      </c>
      <c r="O1103" t="inlineStr">
        <is>
          <t>eng</t>
        </is>
      </c>
      <c r="P1103" t="inlineStr">
        <is>
          <t>nyu</t>
        </is>
      </c>
      <c r="R1103" t="inlineStr">
        <is>
          <t xml:space="preserve">HV </t>
        </is>
      </c>
      <c r="S1103" t="n">
        <v>1</v>
      </c>
      <c r="T1103" t="n">
        <v>1</v>
      </c>
      <c r="U1103" t="inlineStr">
        <is>
          <t>2003-11-12</t>
        </is>
      </c>
      <c r="V1103" t="inlineStr">
        <is>
          <t>2003-11-12</t>
        </is>
      </c>
      <c r="W1103" t="inlineStr">
        <is>
          <t>2003-11-12</t>
        </is>
      </c>
      <c r="X1103" t="inlineStr">
        <is>
          <t>2003-11-12</t>
        </is>
      </c>
      <c r="Y1103" t="n">
        <v>1077</v>
      </c>
      <c r="Z1103" t="n">
        <v>1046</v>
      </c>
      <c r="AA1103" t="n">
        <v>1161</v>
      </c>
      <c r="AB1103" t="n">
        <v>11</v>
      </c>
      <c r="AC1103" t="n">
        <v>11</v>
      </c>
      <c r="AD1103" t="n">
        <v>10</v>
      </c>
      <c r="AE1103" t="n">
        <v>10</v>
      </c>
      <c r="AF1103" t="n">
        <v>4</v>
      </c>
      <c r="AG1103" t="n">
        <v>4</v>
      </c>
      <c r="AH1103" t="n">
        <v>1</v>
      </c>
      <c r="AI1103" t="n">
        <v>1</v>
      </c>
      <c r="AJ1103" t="n">
        <v>4</v>
      </c>
      <c r="AK1103" t="n">
        <v>4</v>
      </c>
      <c r="AL1103" t="n">
        <v>2</v>
      </c>
      <c r="AM1103" t="n">
        <v>2</v>
      </c>
      <c r="AN1103" t="n">
        <v>1</v>
      </c>
      <c r="AO1103" t="n">
        <v>1</v>
      </c>
      <c r="AP1103" t="inlineStr">
        <is>
          <t>No</t>
        </is>
      </c>
      <c r="AQ1103" t="inlineStr">
        <is>
          <t>No</t>
        </is>
      </c>
      <c r="AS1103">
        <f>HYPERLINK("https://creighton-primo.hosted.exlibrisgroup.com/primo-explore/search?tab=default_tab&amp;search_scope=EVERYTHING&amp;vid=01CRU&amp;lang=en_US&amp;offset=0&amp;query=any,contains,991004176539702656","Catalog Record")</f>
        <v/>
      </c>
      <c r="AT1103">
        <f>HYPERLINK("http://www.worldcat.org/oclc/52547597","WorldCat Record")</f>
        <v/>
      </c>
      <c r="AU1103" t="inlineStr">
        <is>
          <t>712261:eng</t>
        </is>
      </c>
      <c r="AV1103" t="inlineStr">
        <is>
          <t>52547597</t>
        </is>
      </c>
      <c r="AW1103" t="inlineStr">
        <is>
          <t>991004176539702656</t>
        </is>
      </c>
      <c r="AX1103" t="inlineStr">
        <is>
          <t>991004176539702656</t>
        </is>
      </c>
      <c r="AY1103" t="inlineStr">
        <is>
          <t>2272349970002656</t>
        </is>
      </c>
      <c r="AZ1103" t="inlineStr">
        <is>
          <t>BOOK</t>
        </is>
      </c>
      <c r="BB1103" t="inlineStr">
        <is>
          <t>9780525947776</t>
        </is>
      </c>
      <c r="BC1103" t="inlineStr">
        <is>
          <t>32285004796594</t>
        </is>
      </c>
      <c r="BD1103" t="inlineStr">
        <is>
          <t>893869387</t>
        </is>
      </c>
    </row>
    <row r="1104">
      <c r="A1104" t="inlineStr">
        <is>
          <t>No</t>
        </is>
      </c>
      <c r="B1104" t="inlineStr">
        <is>
          <t>HV8079.H6 W45 2004</t>
        </is>
      </c>
      <c r="C1104" t="inlineStr">
        <is>
          <t>0                      HV 8079000H  6                  W  45          2004</t>
        </is>
      </c>
      <c r="D1104" t="inlineStr">
        <is>
          <t>American taboo : a murder in the Peace Corps / Philip Weiss.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Weiss, Philip, 1955-</t>
        </is>
      </c>
      <c r="L1104" t="inlineStr">
        <is>
          <t>New York : HarperCollins, c2004.</t>
        </is>
      </c>
      <c r="M1104" t="inlineStr">
        <is>
          <t>2004</t>
        </is>
      </c>
      <c r="N1104" t="inlineStr">
        <is>
          <t>1st ed.</t>
        </is>
      </c>
      <c r="O1104" t="inlineStr">
        <is>
          <t>eng</t>
        </is>
      </c>
      <c r="P1104" t="inlineStr">
        <is>
          <t>nyu</t>
        </is>
      </c>
      <c r="R1104" t="inlineStr">
        <is>
          <t xml:space="preserve">HV </t>
        </is>
      </c>
      <c r="S1104" t="n">
        <v>1</v>
      </c>
      <c r="T1104" t="n">
        <v>1</v>
      </c>
      <c r="U1104" t="inlineStr">
        <is>
          <t>2005-09-08</t>
        </is>
      </c>
      <c r="V1104" t="inlineStr">
        <is>
          <t>2005-09-08</t>
        </is>
      </c>
      <c r="W1104" t="inlineStr">
        <is>
          <t>2004-07-12</t>
        </is>
      </c>
      <c r="X1104" t="inlineStr">
        <is>
          <t>2004-07-12</t>
        </is>
      </c>
      <c r="Y1104" t="n">
        <v>714</v>
      </c>
      <c r="Z1104" t="n">
        <v>682</v>
      </c>
      <c r="AA1104" t="n">
        <v>735</v>
      </c>
      <c r="AB1104" t="n">
        <v>5</v>
      </c>
      <c r="AC1104" t="n">
        <v>5</v>
      </c>
      <c r="AD1104" t="n">
        <v>14</v>
      </c>
      <c r="AE1104" t="n">
        <v>14</v>
      </c>
      <c r="AF1104" t="n">
        <v>3</v>
      </c>
      <c r="AG1104" t="n">
        <v>3</v>
      </c>
      <c r="AH1104" t="n">
        <v>3</v>
      </c>
      <c r="AI1104" t="n">
        <v>3</v>
      </c>
      <c r="AJ1104" t="n">
        <v>7</v>
      </c>
      <c r="AK1104" t="n">
        <v>7</v>
      </c>
      <c r="AL1104" t="n">
        <v>2</v>
      </c>
      <c r="AM1104" t="n">
        <v>2</v>
      </c>
      <c r="AN1104" t="n">
        <v>2</v>
      </c>
      <c r="AO1104" t="n">
        <v>2</v>
      </c>
      <c r="AP1104" t="inlineStr">
        <is>
          <t>No</t>
        </is>
      </c>
      <c r="AQ1104" t="inlineStr">
        <is>
          <t>No</t>
        </is>
      </c>
      <c r="AS1104">
        <f>HYPERLINK("https://creighton-primo.hosted.exlibrisgroup.com/primo-explore/search?tab=default_tab&amp;search_scope=EVERYTHING&amp;vid=01CRU&amp;lang=en_US&amp;offset=0&amp;query=any,contains,991004318449702656","Catalog Record")</f>
        <v/>
      </c>
      <c r="AT1104">
        <f>HYPERLINK("http://www.worldcat.org/oclc/55608104","WorldCat Record")</f>
        <v/>
      </c>
      <c r="AU1104" t="inlineStr">
        <is>
          <t>884492:eng</t>
        </is>
      </c>
      <c r="AV1104" t="inlineStr">
        <is>
          <t>55608104</t>
        </is>
      </c>
      <c r="AW1104" t="inlineStr">
        <is>
          <t>991004318449702656</t>
        </is>
      </c>
      <c r="AX1104" t="inlineStr">
        <is>
          <t>991004318449702656</t>
        </is>
      </c>
      <c r="AY1104" t="inlineStr">
        <is>
          <t>2272330450002656</t>
        </is>
      </c>
      <c r="AZ1104" t="inlineStr">
        <is>
          <t>BOOK</t>
        </is>
      </c>
      <c r="BB1104" t="inlineStr">
        <is>
          <t>9780060096861</t>
        </is>
      </c>
      <c r="BC1104" t="inlineStr">
        <is>
          <t>32285004922679</t>
        </is>
      </c>
      <c r="BD1104" t="inlineStr">
        <is>
          <t>893506699</t>
        </is>
      </c>
    </row>
    <row r="1105">
      <c r="A1105" t="inlineStr">
        <is>
          <t>No</t>
        </is>
      </c>
      <c r="B1105" t="inlineStr">
        <is>
          <t>HV8079.N3 B55 2005</t>
        </is>
      </c>
      <c r="C1105" t="inlineStr">
        <is>
          <t>0                      HV 8079000N  3                  B  55          2005</t>
        </is>
      </c>
      <c r="D1105" t="inlineStr">
        <is>
          <t>Tulia : race, cocaine, and corruption in a small Texas town / Nate Blakeslee.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K1105" t="inlineStr">
        <is>
          <t>Blakeslee, Nate, 1970-</t>
        </is>
      </c>
      <c r="L1105" t="inlineStr">
        <is>
          <t>New York : Public Affairs, c2005.</t>
        </is>
      </c>
      <c r="M1105" t="inlineStr">
        <is>
          <t>2005</t>
        </is>
      </c>
      <c r="N1105" t="inlineStr">
        <is>
          <t>1st ed.</t>
        </is>
      </c>
      <c r="O1105" t="inlineStr">
        <is>
          <t>eng</t>
        </is>
      </c>
      <c r="P1105" t="inlineStr">
        <is>
          <t>nyu</t>
        </is>
      </c>
      <c r="R1105" t="inlineStr">
        <is>
          <t xml:space="preserve">HV </t>
        </is>
      </c>
      <c r="S1105" t="n">
        <v>2</v>
      </c>
      <c r="T1105" t="n">
        <v>2</v>
      </c>
      <c r="U1105" t="inlineStr">
        <is>
          <t>2005-10-28</t>
        </is>
      </c>
      <c r="V1105" t="inlineStr">
        <is>
          <t>2005-10-28</t>
        </is>
      </c>
      <c r="W1105" t="inlineStr">
        <is>
          <t>2005-10-12</t>
        </is>
      </c>
      <c r="X1105" t="inlineStr">
        <is>
          <t>2005-10-12</t>
        </is>
      </c>
      <c r="Y1105" t="n">
        <v>808</v>
      </c>
      <c r="Z1105" t="n">
        <v>777</v>
      </c>
      <c r="AA1105" t="n">
        <v>898</v>
      </c>
      <c r="AB1105" t="n">
        <v>6</v>
      </c>
      <c r="AC1105" t="n">
        <v>7</v>
      </c>
      <c r="AD1105" t="n">
        <v>23</v>
      </c>
      <c r="AE1105" t="n">
        <v>26</v>
      </c>
      <c r="AF1105" t="n">
        <v>7</v>
      </c>
      <c r="AG1105" t="n">
        <v>9</v>
      </c>
      <c r="AH1105" t="n">
        <v>4</v>
      </c>
      <c r="AI1105" t="n">
        <v>4</v>
      </c>
      <c r="AJ1105" t="n">
        <v>10</v>
      </c>
      <c r="AK1105" t="n">
        <v>11</v>
      </c>
      <c r="AL1105" t="n">
        <v>3</v>
      </c>
      <c r="AM1105" t="n">
        <v>3</v>
      </c>
      <c r="AN1105" t="n">
        <v>5</v>
      </c>
      <c r="AO1105" t="n">
        <v>6</v>
      </c>
      <c r="AP1105" t="inlineStr">
        <is>
          <t>No</t>
        </is>
      </c>
      <c r="AQ1105" t="inlineStr">
        <is>
          <t>No</t>
        </is>
      </c>
      <c r="AS1105">
        <f>HYPERLINK("https://creighton-primo.hosted.exlibrisgroup.com/primo-explore/search?tab=default_tab&amp;search_scope=EVERYTHING&amp;vid=01CRU&amp;lang=en_US&amp;offset=0&amp;query=any,contains,991004647029702656","Catalog Record")</f>
        <v/>
      </c>
      <c r="AT1105">
        <f>HYPERLINK("http://www.worldcat.org/oclc/60705704","WorldCat Record")</f>
        <v/>
      </c>
      <c r="AU1105" t="inlineStr">
        <is>
          <t>796448761:eng</t>
        </is>
      </c>
      <c r="AV1105" t="inlineStr">
        <is>
          <t>60705704</t>
        </is>
      </c>
      <c r="AW1105" t="inlineStr">
        <is>
          <t>991004647029702656</t>
        </is>
      </c>
      <c r="AX1105" t="inlineStr">
        <is>
          <t>991004647029702656</t>
        </is>
      </c>
      <c r="AY1105" t="inlineStr">
        <is>
          <t>2265419300002656</t>
        </is>
      </c>
      <c r="AZ1105" t="inlineStr">
        <is>
          <t>BOOK</t>
        </is>
      </c>
      <c r="BB1105" t="inlineStr">
        <is>
          <t>9781586482190</t>
        </is>
      </c>
      <c r="BC1105" t="inlineStr">
        <is>
          <t>32285005088751</t>
        </is>
      </c>
      <c r="BD1105" t="inlineStr">
        <is>
          <t>893430318</t>
        </is>
      </c>
    </row>
    <row r="1106">
      <c r="A1106" t="inlineStr">
        <is>
          <t>No</t>
        </is>
      </c>
      <c r="B1106" t="inlineStr">
        <is>
          <t>HV8079.O73 D45 2008</t>
        </is>
      </c>
      <c r="C1106" t="inlineStr">
        <is>
          <t>0                      HV 8079000O  73                 D  45          2008</t>
        </is>
      </c>
      <c r="D1106" t="inlineStr">
        <is>
          <t>Covert : my years infiltrating the Mob / by Bob Delaney, with Dave Scheiber ; [foreword by Bill Walton].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K1106" t="inlineStr">
        <is>
          <t>Delaney, Bob, 1951-</t>
        </is>
      </c>
      <c r="L1106" t="inlineStr">
        <is>
          <t>New York, NY : Union Square Press, c2008.</t>
        </is>
      </c>
      <c r="M1106" t="inlineStr">
        <is>
          <t>2008</t>
        </is>
      </c>
      <c r="O1106" t="inlineStr">
        <is>
          <t>eng</t>
        </is>
      </c>
      <c r="P1106" t="inlineStr">
        <is>
          <t>nyu</t>
        </is>
      </c>
      <c r="R1106" t="inlineStr">
        <is>
          <t xml:space="preserve">HV </t>
        </is>
      </c>
      <c r="S1106" t="n">
        <v>1</v>
      </c>
      <c r="T1106" t="n">
        <v>1</v>
      </c>
      <c r="U1106" t="inlineStr">
        <is>
          <t>2008-04-29</t>
        </is>
      </c>
      <c r="V1106" t="inlineStr">
        <is>
          <t>2008-04-29</t>
        </is>
      </c>
      <c r="W1106" t="inlineStr">
        <is>
          <t>2008-04-29</t>
        </is>
      </c>
      <c r="X1106" t="inlineStr">
        <is>
          <t>2008-04-29</t>
        </is>
      </c>
      <c r="Y1106" t="n">
        <v>854</v>
      </c>
      <c r="Z1106" t="n">
        <v>810</v>
      </c>
      <c r="AA1106" t="n">
        <v>878</v>
      </c>
      <c r="AB1106" t="n">
        <v>8</v>
      </c>
      <c r="AC1106" t="n">
        <v>8</v>
      </c>
      <c r="AD1106" t="n">
        <v>4</v>
      </c>
      <c r="AE1106" t="n">
        <v>4</v>
      </c>
      <c r="AF1106" t="n">
        <v>1</v>
      </c>
      <c r="AG1106" t="n">
        <v>1</v>
      </c>
      <c r="AH1106" t="n">
        <v>1</v>
      </c>
      <c r="AI1106" t="n">
        <v>1</v>
      </c>
      <c r="AJ1106" t="n">
        <v>3</v>
      </c>
      <c r="AK1106" t="n">
        <v>3</v>
      </c>
      <c r="AL1106" t="n">
        <v>0</v>
      </c>
      <c r="AM1106" t="n">
        <v>0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No</t>
        </is>
      </c>
      <c r="AS1106">
        <f>HYPERLINK("https://creighton-primo.hosted.exlibrisgroup.com/primo-explore/search?tab=default_tab&amp;search_scope=EVERYTHING&amp;vid=01CRU&amp;lang=en_US&amp;offset=0&amp;query=any,contains,991005207219702656","Catalog Record")</f>
        <v/>
      </c>
      <c r="AT1106">
        <f>HYPERLINK("http://www.worldcat.org/oclc/166362080","WorldCat Record")</f>
        <v/>
      </c>
      <c r="AU1106" t="inlineStr">
        <is>
          <t>112886874:eng</t>
        </is>
      </c>
      <c r="AV1106" t="inlineStr">
        <is>
          <t>166362080</t>
        </is>
      </c>
      <c r="AW1106" t="inlineStr">
        <is>
          <t>991005207219702656</t>
        </is>
      </c>
      <c r="AX1106" t="inlineStr">
        <is>
          <t>991005207219702656</t>
        </is>
      </c>
      <c r="AY1106" t="inlineStr">
        <is>
          <t>2255196560002656</t>
        </is>
      </c>
      <c r="AZ1106" t="inlineStr">
        <is>
          <t>BOOK</t>
        </is>
      </c>
      <c r="BB1106" t="inlineStr">
        <is>
          <t>9781402754432</t>
        </is>
      </c>
      <c r="BC1106" t="inlineStr">
        <is>
          <t>32285005404990</t>
        </is>
      </c>
      <c r="BD1106" t="inlineStr">
        <is>
          <t>893248551</t>
        </is>
      </c>
    </row>
    <row r="1107">
      <c r="A1107" t="inlineStr">
        <is>
          <t>No</t>
        </is>
      </c>
      <c r="B1107" t="inlineStr">
        <is>
          <t>HV8079.O73 S36 2000</t>
        </is>
      </c>
      <c r="C1107" t="inlineStr">
        <is>
          <t>0                      HV 8079000O  73                 S  36          2000</t>
        </is>
      </c>
      <c r="D1107" t="inlineStr">
        <is>
          <t>Europol and police cooperation in Europe / Michael Santiago.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Santiago, Michael.</t>
        </is>
      </c>
      <c r="L1107" t="inlineStr">
        <is>
          <t>Lewiston, N.Y. : E. Mellen, c2000.</t>
        </is>
      </c>
      <c r="M1107" t="inlineStr">
        <is>
          <t>2000</t>
        </is>
      </c>
      <c r="O1107" t="inlineStr">
        <is>
          <t>eng</t>
        </is>
      </c>
      <c r="P1107" t="inlineStr">
        <is>
          <t>nyu</t>
        </is>
      </c>
      <c r="Q1107" t="inlineStr">
        <is>
          <t>Criminology studies ; v. 11</t>
        </is>
      </c>
      <c r="R1107" t="inlineStr">
        <is>
          <t xml:space="preserve">HV </t>
        </is>
      </c>
      <c r="S1107" t="n">
        <v>1</v>
      </c>
      <c r="T1107" t="n">
        <v>1</v>
      </c>
      <c r="U1107" t="inlineStr">
        <is>
          <t>2004-10-14</t>
        </is>
      </c>
      <c r="V1107" t="inlineStr">
        <is>
          <t>2004-10-14</t>
        </is>
      </c>
      <c r="W1107" t="inlineStr">
        <is>
          <t>2004-10-14</t>
        </is>
      </c>
      <c r="X1107" t="inlineStr">
        <is>
          <t>2004-10-14</t>
        </is>
      </c>
      <c r="Y1107" t="n">
        <v>95</v>
      </c>
      <c r="Z1107" t="n">
        <v>64</v>
      </c>
      <c r="AA1107" t="n">
        <v>65</v>
      </c>
      <c r="AB1107" t="n">
        <v>1</v>
      </c>
      <c r="AC1107" t="n">
        <v>1</v>
      </c>
      <c r="AD1107" t="n">
        <v>4</v>
      </c>
      <c r="AE1107" t="n">
        <v>4</v>
      </c>
      <c r="AF1107" t="n">
        <v>1</v>
      </c>
      <c r="AG1107" t="n">
        <v>1</v>
      </c>
      <c r="AH1107" t="n">
        <v>0</v>
      </c>
      <c r="AI1107" t="n">
        <v>0</v>
      </c>
      <c r="AJ1107" t="n">
        <v>2</v>
      </c>
      <c r="AK1107" t="n">
        <v>2</v>
      </c>
      <c r="AL1107" t="n">
        <v>0</v>
      </c>
      <c r="AM1107" t="n">
        <v>0</v>
      </c>
      <c r="AN1107" t="n">
        <v>2</v>
      </c>
      <c r="AO1107" t="n">
        <v>2</v>
      </c>
      <c r="AP1107" t="inlineStr">
        <is>
          <t>No</t>
        </is>
      </c>
      <c r="AQ1107" t="inlineStr">
        <is>
          <t>No</t>
        </is>
      </c>
      <c r="AS1107">
        <f>HYPERLINK("https://creighton-primo.hosted.exlibrisgroup.com/primo-explore/search?tab=default_tab&amp;search_scope=EVERYTHING&amp;vid=01CRU&amp;lang=en_US&amp;offset=0&amp;query=any,contains,991004346649702656","Catalog Record")</f>
        <v/>
      </c>
      <c r="AT1107">
        <f>HYPERLINK("http://www.worldcat.org/oclc/43694438","WorldCat Record")</f>
        <v/>
      </c>
      <c r="AU1107" t="inlineStr">
        <is>
          <t>44835760:eng</t>
        </is>
      </c>
      <c r="AV1107" t="inlineStr">
        <is>
          <t>43694438</t>
        </is>
      </c>
      <c r="AW1107" t="inlineStr">
        <is>
          <t>991004346649702656</t>
        </is>
      </c>
      <c r="AX1107" t="inlineStr">
        <is>
          <t>991004346649702656</t>
        </is>
      </c>
      <c r="AY1107" t="inlineStr">
        <is>
          <t>2272611440002656</t>
        </is>
      </c>
      <c r="AZ1107" t="inlineStr">
        <is>
          <t>BOOK</t>
        </is>
      </c>
      <c r="BB1107" t="inlineStr">
        <is>
          <t>9780773477315</t>
        </is>
      </c>
      <c r="BC1107" t="inlineStr">
        <is>
          <t>32285005004493</t>
        </is>
      </c>
      <c r="BD1107" t="inlineStr">
        <is>
          <t>893599739</t>
        </is>
      </c>
    </row>
    <row r="1108">
      <c r="A1108" t="inlineStr">
        <is>
          <t>No</t>
        </is>
      </c>
      <c r="B1108" t="inlineStr">
        <is>
          <t>HV8079.S48 S48 2006</t>
        </is>
      </c>
      <c r="C1108" t="inlineStr">
        <is>
          <t>0                      HV 8079000S  48                 S  48          2006</t>
        </is>
      </c>
      <c r="D1108" t="inlineStr">
        <is>
          <t>Sex crimes investigation : catching and prosecuting the perpetrators / Robert L. Snow.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Snow, Robert L.</t>
        </is>
      </c>
      <c r="L1108" t="inlineStr">
        <is>
          <t>Westport, Conn. : Praeger, 2006.</t>
        </is>
      </c>
      <c r="M1108" t="inlineStr">
        <is>
          <t>2006</t>
        </is>
      </c>
      <c r="O1108" t="inlineStr">
        <is>
          <t>eng</t>
        </is>
      </c>
      <c r="P1108" t="inlineStr">
        <is>
          <t>ctu</t>
        </is>
      </c>
      <c r="R1108" t="inlineStr">
        <is>
          <t xml:space="preserve">HV </t>
        </is>
      </c>
      <c r="S1108" t="n">
        <v>2</v>
      </c>
      <c r="T1108" t="n">
        <v>2</v>
      </c>
      <c r="U1108" t="inlineStr">
        <is>
          <t>2008-11-11</t>
        </is>
      </c>
      <c r="V1108" t="inlineStr">
        <is>
          <t>2008-11-11</t>
        </is>
      </c>
      <c r="W1108" t="inlineStr">
        <is>
          <t>2006-07-17</t>
        </is>
      </c>
      <c r="X1108" t="inlineStr">
        <is>
          <t>2006-07-17</t>
        </is>
      </c>
      <c r="Y1108" t="n">
        <v>369</v>
      </c>
      <c r="Z1108" t="n">
        <v>326</v>
      </c>
      <c r="AA1108" t="n">
        <v>673</v>
      </c>
      <c r="AB1108" t="n">
        <v>3</v>
      </c>
      <c r="AC1108" t="n">
        <v>5</v>
      </c>
      <c r="AD1108" t="n">
        <v>11</v>
      </c>
      <c r="AE1108" t="n">
        <v>17</v>
      </c>
      <c r="AF1108" t="n">
        <v>3</v>
      </c>
      <c r="AG1108" t="n">
        <v>6</v>
      </c>
      <c r="AH1108" t="n">
        <v>2</v>
      </c>
      <c r="AI1108" t="n">
        <v>2</v>
      </c>
      <c r="AJ1108" t="n">
        <v>3</v>
      </c>
      <c r="AK1108" t="n">
        <v>5</v>
      </c>
      <c r="AL1108" t="n">
        <v>2</v>
      </c>
      <c r="AM1108" t="n">
        <v>4</v>
      </c>
      <c r="AN1108" t="n">
        <v>3</v>
      </c>
      <c r="AO1108" t="n">
        <v>3</v>
      </c>
      <c r="AP1108" t="inlineStr">
        <is>
          <t>No</t>
        </is>
      </c>
      <c r="AQ1108" t="inlineStr">
        <is>
          <t>No</t>
        </is>
      </c>
      <c r="AS1108">
        <f>HYPERLINK("https://creighton-primo.hosted.exlibrisgroup.com/primo-explore/search?tab=default_tab&amp;search_scope=EVERYTHING&amp;vid=01CRU&amp;lang=en_US&amp;offset=0&amp;query=any,contains,991004838459702656","Catalog Record")</f>
        <v/>
      </c>
      <c r="AT1108">
        <f>HYPERLINK("http://www.worldcat.org/oclc/62697098","WorldCat Record")</f>
        <v/>
      </c>
      <c r="AU1108" t="inlineStr">
        <is>
          <t>47024792:eng</t>
        </is>
      </c>
      <c r="AV1108" t="inlineStr">
        <is>
          <t>62697098</t>
        </is>
      </c>
      <c r="AW1108" t="inlineStr">
        <is>
          <t>991004838459702656</t>
        </is>
      </c>
      <c r="AX1108" t="inlineStr">
        <is>
          <t>991004838459702656</t>
        </is>
      </c>
      <c r="AY1108" t="inlineStr">
        <is>
          <t>2267079600002656</t>
        </is>
      </c>
      <c r="AZ1108" t="inlineStr">
        <is>
          <t>BOOK</t>
        </is>
      </c>
      <c r="BB1108" t="inlineStr">
        <is>
          <t>9780275989347</t>
        </is>
      </c>
      <c r="BC1108" t="inlineStr">
        <is>
          <t>32285005193981</t>
        </is>
      </c>
      <c r="BD1108" t="inlineStr">
        <is>
          <t>893700737</t>
        </is>
      </c>
    </row>
    <row r="1109">
      <c r="A1109" t="inlineStr">
        <is>
          <t>No</t>
        </is>
      </c>
      <c r="B1109" t="inlineStr">
        <is>
          <t>HV8079.W47 M35 2005</t>
        </is>
      </c>
      <c r="C1109" t="inlineStr">
        <is>
          <t>0                      HV 8079000W  47                 M  35          2005</t>
        </is>
      </c>
      <c r="D1109" t="inlineStr">
        <is>
          <t>Financial investigation and forensic accounting / George A. Manning.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Manning, George A.</t>
        </is>
      </c>
      <c r="L1109" t="inlineStr">
        <is>
          <t>Boca Raton, FL : Taylor &amp; Francis Group, 2005.</t>
        </is>
      </c>
      <c r="M1109" t="inlineStr">
        <is>
          <t>2005</t>
        </is>
      </c>
      <c r="N1109" t="inlineStr">
        <is>
          <t>2nd ed.</t>
        </is>
      </c>
      <c r="O1109" t="inlineStr">
        <is>
          <t>eng</t>
        </is>
      </c>
      <c r="P1109" t="inlineStr">
        <is>
          <t>flu</t>
        </is>
      </c>
      <c r="R1109" t="inlineStr">
        <is>
          <t xml:space="preserve">HV </t>
        </is>
      </c>
      <c r="S1109" t="n">
        <v>1</v>
      </c>
      <c r="T1109" t="n">
        <v>1</v>
      </c>
      <c r="U1109" t="inlineStr">
        <is>
          <t>2005-07-05</t>
        </is>
      </c>
      <c r="V1109" t="inlineStr">
        <is>
          <t>2005-07-05</t>
        </is>
      </c>
      <c r="W1109" t="inlineStr">
        <is>
          <t>2005-07-05</t>
        </is>
      </c>
      <c r="X1109" t="inlineStr">
        <is>
          <t>2005-07-05</t>
        </is>
      </c>
      <c r="Y1109" t="n">
        <v>177</v>
      </c>
      <c r="Z1109" t="n">
        <v>131</v>
      </c>
      <c r="AA1109" t="n">
        <v>708</v>
      </c>
      <c r="AB1109" t="n">
        <v>1</v>
      </c>
      <c r="AC1109" t="n">
        <v>6</v>
      </c>
      <c r="AD1109" t="n">
        <v>3</v>
      </c>
      <c r="AE1109" t="n">
        <v>32</v>
      </c>
      <c r="AF1109" t="n">
        <v>1</v>
      </c>
      <c r="AG1109" t="n">
        <v>11</v>
      </c>
      <c r="AH1109" t="n">
        <v>1</v>
      </c>
      <c r="AI1109" t="n">
        <v>7</v>
      </c>
      <c r="AJ1109" t="n">
        <v>2</v>
      </c>
      <c r="AK1109" t="n">
        <v>13</v>
      </c>
      <c r="AL1109" t="n">
        <v>0</v>
      </c>
      <c r="AM1109" t="n">
        <v>5</v>
      </c>
      <c r="AN1109" t="n">
        <v>1</v>
      </c>
      <c r="AO1109" t="n">
        <v>3</v>
      </c>
      <c r="AP1109" t="inlineStr">
        <is>
          <t>No</t>
        </is>
      </c>
      <c r="AQ1109" t="inlineStr">
        <is>
          <t>No</t>
        </is>
      </c>
      <c r="AS1109">
        <f>HYPERLINK("https://creighton-primo.hosted.exlibrisgroup.com/primo-explore/search?tab=default_tab&amp;search_scope=EVERYTHING&amp;vid=01CRU&amp;lang=en_US&amp;offset=0&amp;query=any,contains,991004515909702656","Catalog Record")</f>
        <v/>
      </c>
      <c r="AT1109">
        <f>HYPERLINK("http://www.worldcat.org/oclc/56672354","WorldCat Record")</f>
        <v/>
      </c>
      <c r="AU1109" t="inlineStr">
        <is>
          <t>16766130:eng</t>
        </is>
      </c>
      <c r="AV1109" t="inlineStr">
        <is>
          <t>56672354</t>
        </is>
      </c>
      <c r="AW1109" t="inlineStr">
        <is>
          <t>991004515909702656</t>
        </is>
      </c>
      <c r="AX1109" t="inlineStr">
        <is>
          <t>991004515909702656</t>
        </is>
      </c>
      <c r="AY1109" t="inlineStr">
        <is>
          <t>2269104000002656</t>
        </is>
      </c>
      <c r="AZ1109" t="inlineStr">
        <is>
          <t>BOOK</t>
        </is>
      </c>
      <c r="BB1109" t="inlineStr">
        <is>
          <t>9780849322235</t>
        </is>
      </c>
      <c r="BC1109" t="inlineStr">
        <is>
          <t>32285005094635</t>
        </is>
      </c>
      <c r="BD1109" t="inlineStr">
        <is>
          <t>893331694</t>
        </is>
      </c>
    </row>
    <row r="1110">
      <c r="A1110" t="inlineStr">
        <is>
          <t>No</t>
        </is>
      </c>
      <c r="B1110" t="inlineStr">
        <is>
          <t>HV8087.P75 H6</t>
        </is>
      </c>
      <c r="C1110" t="inlineStr">
        <is>
          <t>0                      HV 8087000P  75                 H  6</t>
        </is>
      </c>
      <c r="D1110" t="inlineStr">
        <is>
          <t>The Pinkerton story, by James D. Horan and Howard Swiggett.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Horan, James D. (James David), 1914-1981.</t>
        </is>
      </c>
      <c r="L1110" t="inlineStr">
        <is>
          <t>New York, Putnam [1951]</t>
        </is>
      </c>
      <c r="M1110" t="inlineStr">
        <is>
          <t>1951</t>
        </is>
      </c>
      <c r="O1110" t="inlineStr">
        <is>
          <t>eng</t>
        </is>
      </c>
      <c r="P1110" t="inlineStr">
        <is>
          <t>nyu</t>
        </is>
      </c>
      <c r="R1110" t="inlineStr">
        <is>
          <t xml:space="preserve">HV </t>
        </is>
      </c>
      <c r="S1110" t="n">
        <v>7</v>
      </c>
      <c r="T1110" t="n">
        <v>7</v>
      </c>
      <c r="U1110" t="inlineStr">
        <is>
          <t>2002-04-23</t>
        </is>
      </c>
      <c r="V1110" t="inlineStr">
        <is>
          <t>2002-04-23</t>
        </is>
      </c>
      <c r="W1110" t="inlineStr">
        <is>
          <t>1997-08-25</t>
        </is>
      </c>
      <c r="X1110" t="inlineStr">
        <is>
          <t>1997-08-25</t>
        </is>
      </c>
      <c r="Y1110" t="n">
        <v>382</v>
      </c>
      <c r="Z1110" t="n">
        <v>370</v>
      </c>
      <c r="AA1110" t="n">
        <v>387</v>
      </c>
      <c r="AB1110" t="n">
        <v>4</v>
      </c>
      <c r="AC1110" t="n">
        <v>4</v>
      </c>
      <c r="AD1110" t="n">
        <v>14</v>
      </c>
      <c r="AE1110" t="n">
        <v>14</v>
      </c>
      <c r="AF1110" t="n">
        <v>7</v>
      </c>
      <c r="AG1110" t="n">
        <v>7</v>
      </c>
      <c r="AH1110" t="n">
        <v>3</v>
      </c>
      <c r="AI1110" t="n">
        <v>3</v>
      </c>
      <c r="AJ1110" t="n">
        <v>7</v>
      </c>
      <c r="AK1110" t="n">
        <v>7</v>
      </c>
      <c r="AL1110" t="n">
        <v>1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Yes</t>
        </is>
      </c>
      <c r="AR1110">
        <f>HYPERLINK("http://catalog.hathitrust.org/Record/001135065","HathiTrust Record")</f>
        <v/>
      </c>
      <c r="AS1110">
        <f>HYPERLINK("https://creighton-primo.hosted.exlibrisgroup.com/primo-explore/search?tab=default_tab&amp;search_scope=EVERYTHING&amp;vid=01CRU&amp;lang=en_US&amp;offset=0&amp;query=any,contains,991003685099702656","Catalog Record")</f>
        <v/>
      </c>
      <c r="AT1110">
        <f>HYPERLINK("http://www.worldcat.org/oclc/1313186","WorldCat Record")</f>
        <v/>
      </c>
      <c r="AU1110" t="inlineStr">
        <is>
          <t>2034556:eng</t>
        </is>
      </c>
      <c r="AV1110" t="inlineStr">
        <is>
          <t>1313186</t>
        </is>
      </c>
      <c r="AW1110" t="inlineStr">
        <is>
          <t>991003685099702656</t>
        </is>
      </c>
      <c r="AX1110" t="inlineStr">
        <is>
          <t>991003685099702656</t>
        </is>
      </c>
      <c r="AY1110" t="inlineStr">
        <is>
          <t>2257547220002656</t>
        </is>
      </c>
      <c r="AZ1110" t="inlineStr">
        <is>
          <t>BOOK</t>
        </is>
      </c>
      <c r="BC1110" t="inlineStr">
        <is>
          <t>32285003158820</t>
        </is>
      </c>
      <c r="BD1110" t="inlineStr">
        <is>
          <t>893228327</t>
        </is>
      </c>
    </row>
    <row r="1111">
      <c r="A1111" t="inlineStr">
        <is>
          <t>No</t>
        </is>
      </c>
      <c r="B1111" t="inlineStr">
        <is>
          <t>HV8132 1976 .C74</t>
        </is>
      </c>
      <c r="C1111" t="inlineStr">
        <is>
          <t>0                      HV 8132000               1976   C  74</t>
        </is>
      </c>
      <c r="D1111" t="inlineStr">
        <is>
          <t>Criminal justice planning and development / edited by Alvin W. Cohn.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L1111" t="inlineStr">
        <is>
          <t>Beverly Hills, Calif. : Sage Publications, c1977.</t>
        </is>
      </c>
      <c r="M1111" t="inlineStr">
        <is>
          <t>1977</t>
        </is>
      </c>
      <c r="O1111" t="inlineStr">
        <is>
          <t>eng</t>
        </is>
      </c>
      <c r="P1111" t="inlineStr">
        <is>
          <t>cau</t>
        </is>
      </c>
      <c r="Q1111" t="inlineStr">
        <is>
          <t>Sage research progress series in criminology ; v. 4</t>
        </is>
      </c>
      <c r="R1111" t="inlineStr">
        <is>
          <t xml:space="preserve">HV </t>
        </is>
      </c>
      <c r="S1111" t="n">
        <v>13</v>
      </c>
      <c r="T1111" t="n">
        <v>13</v>
      </c>
      <c r="U1111" t="inlineStr">
        <is>
          <t>2003-12-03</t>
        </is>
      </c>
      <c r="V1111" t="inlineStr">
        <is>
          <t>2003-12-03</t>
        </is>
      </c>
      <c r="W1111" t="inlineStr">
        <is>
          <t>1992-07-14</t>
        </is>
      </c>
      <c r="X1111" t="inlineStr">
        <is>
          <t>1992-07-14</t>
        </is>
      </c>
      <c r="Y1111" t="n">
        <v>317</v>
      </c>
      <c r="Z1111" t="n">
        <v>263</v>
      </c>
      <c r="AA1111" t="n">
        <v>271</v>
      </c>
      <c r="AB1111" t="n">
        <v>2</v>
      </c>
      <c r="AC1111" t="n">
        <v>2</v>
      </c>
      <c r="AD1111" t="n">
        <v>13</v>
      </c>
      <c r="AE1111" t="n">
        <v>13</v>
      </c>
      <c r="AF1111" t="n">
        <v>3</v>
      </c>
      <c r="AG1111" t="n">
        <v>3</v>
      </c>
      <c r="AH1111" t="n">
        <v>3</v>
      </c>
      <c r="AI1111" t="n">
        <v>3</v>
      </c>
      <c r="AJ1111" t="n">
        <v>5</v>
      </c>
      <c r="AK1111" t="n">
        <v>5</v>
      </c>
      <c r="AL1111" t="n">
        <v>1</v>
      </c>
      <c r="AM1111" t="n">
        <v>1</v>
      </c>
      <c r="AN1111" t="n">
        <v>4</v>
      </c>
      <c r="AO1111" t="n">
        <v>4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HYPERLINK("http://catalog.hathitrust.org/Record/000137224","HathiTrust Record")</f>
        <v/>
      </c>
      <c r="AS1111">
        <f>HYPERLINK("https://creighton-primo.hosted.exlibrisgroup.com/primo-explore/search?tab=default_tab&amp;search_scope=EVERYTHING&amp;vid=01CRU&amp;lang=en_US&amp;offset=0&amp;query=any,contains,991004540549702656","Catalog Record")</f>
        <v/>
      </c>
      <c r="AT1111">
        <f>HYPERLINK("http://www.worldcat.org/oclc/3893027","WorldCat Record")</f>
        <v/>
      </c>
      <c r="AU1111" t="inlineStr">
        <is>
          <t>456914:eng</t>
        </is>
      </c>
      <c r="AV1111" t="inlineStr">
        <is>
          <t>3893027</t>
        </is>
      </c>
      <c r="AW1111" t="inlineStr">
        <is>
          <t>991004540549702656</t>
        </is>
      </c>
      <c r="AX1111" t="inlineStr">
        <is>
          <t>991004540549702656</t>
        </is>
      </c>
      <c r="AY1111" t="inlineStr">
        <is>
          <t>2271892280002656</t>
        </is>
      </c>
      <c r="AZ1111" t="inlineStr">
        <is>
          <t>BOOK</t>
        </is>
      </c>
      <c r="BB1111" t="inlineStr">
        <is>
          <t>9780803909182</t>
        </is>
      </c>
      <c r="BC1111" t="inlineStr">
        <is>
          <t>32285001182558</t>
        </is>
      </c>
      <c r="BD1111" t="inlineStr">
        <is>
          <t>893719057</t>
        </is>
      </c>
    </row>
    <row r="1112">
      <c r="A1112" t="inlineStr">
        <is>
          <t>No</t>
        </is>
      </c>
      <c r="B1112" t="inlineStr">
        <is>
          <t>HV8138 .B73 1996</t>
        </is>
      </c>
      <c r="C1112" t="inlineStr">
        <is>
          <t>0                      HV 8138000B  73          1996</t>
        </is>
      </c>
      <c r="D1112" t="inlineStr">
        <is>
          <t>Classics in policing / Steven G. Brandl, David E. Barlow.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Brandl, Steven G. (Steven Gerard)</t>
        </is>
      </c>
      <c r="L1112" t="inlineStr">
        <is>
          <t>Cincinnati, OH : Anderson Pub. Co., c1996.</t>
        </is>
      </c>
      <c r="M1112" t="inlineStr">
        <is>
          <t>1996</t>
        </is>
      </c>
      <c r="O1112" t="inlineStr">
        <is>
          <t>eng</t>
        </is>
      </c>
      <c r="P1112" t="inlineStr">
        <is>
          <t>ohu</t>
        </is>
      </c>
      <c r="R1112" t="inlineStr">
        <is>
          <t xml:space="preserve">HV </t>
        </is>
      </c>
      <c r="S1112" t="n">
        <v>4</v>
      </c>
      <c r="T1112" t="n">
        <v>4</v>
      </c>
      <c r="U1112" t="inlineStr">
        <is>
          <t>2001-11-19</t>
        </is>
      </c>
      <c r="V1112" t="inlineStr">
        <is>
          <t>2001-11-19</t>
        </is>
      </c>
      <c r="W1112" t="inlineStr">
        <is>
          <t>1999-01-14</t>
        </is>
      </c>
      <c r="X1112" t="inlineStr">
        <is>
          <t>1999-01-14</t>
        </is>
      </c>
      <c r="Y1112" t="n">
        <v>103</v>
      </c>
      <c r="Z1112" t="n">
        <v>88</v>
      </c>
      <c r="AA1112" t="n">
        <v>88</v>
      </c>
      <c r="AB1112" t="n">
        <v>2</v>
      </c>
      <c r="AC1112" t="n">
        <v>2</v>
      </c>
      <c r="AD1112" t="n">
        <v>4</v>
      </c>
      <c r="AE1112" t="n">
        <v>4</v>
      </c>
      <c r="AF1112" t="n">
        <v>2</v>
      </c>
      <c r="AG1112" t="n">
        <v>2</v>
      </c>
      <c r="AH1112" t="n">
        <v>0</v>
      </c>
      <c r="AI1112" t="n">
        <v>0</v>
      </c>
      <c r="AJ1112" t="n">
        <v>1</v>
      </c>
      <c r="AK1112" t="n">
        <v>1</v>
      </c>
      <c r="AL1112" t="n">
        <v>1</v>
      </c>
      <c r="AM1112" t="n">
        <v>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No</t>
        </is>
      </c>
      <c r="AS1112">
        <f>HYPERLINK("https://creighton-primo.hosted.exlibrisgroup.com/primo-explore/search?tab=default_tab&amp;search_scope=EVERYTHING&amp;vid=01CRU&amp;lang=en_US&amp;offset=0&amp;query=any,contains,991002751529702656","Catalog Record")</f>
        <v/>
      </c>
      <c r="AT1112">
        <f>HYPERLINK("http://www.worldcat.org/oclc/36107300","WorldCat Record")</f>
        <v/>
      </c>
      <c r="AU1112" t="inlineStr">
        <is>
          <t>1028158213:eng</t>
        </is>
      </c>
      <c r="AV1112" t="inlineStr">
        <is>
          <t>36107300</t>
        </is>
      </c>
      <c r="AW1112" t="inlineStr">
        <is>
          <t>991002751529702656</t>
        </is>
      </c>
      <c r="AX1112" t="inlineStr">
        <is>
          <t>991002751529702656</t>
        </is>
      </c>
      <c r="AY1112" t="inlineStr">
        <is>
          <t>2254919110002656</t>
        </is>
      </c>
      <c r="AZ1112" t="inlineStr">
        <is>
          <t>BOOK</t>
        </is>
      </c>
      <c r="BB1112" t="inlineStr">
        <is>
          <t>9780870842344</t>
        </is>
      </c>
      <c r="BC1112" t="inlineStr">
        <is>
          <t>32285003512133</t>
        </is>
      </c>
      <c r="BD1112" t="inlineStr">
        <is>
          <t>893685736</t>
        </is>
      </c>
    </row>
    <row r="1113">
      <c r="A1113" t="inlineStr">
        <is>
          <t>No</t>
        </is>
      </c>
      <c r="B1113" t="inlineStr">
        <is>
          <t>HV8138 .C484</t>
        </is>
      </c>
      <c r="C1113" t="inlineStr">
        <is>
          <t>0                      HV 8138000C  484</t>
        </is>
      </c>
      <c r="D1113" t="inlineStr">
        <is>
          <t>Criminal law in action / [compiled by] William J. Chambliss.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Chambliss, William J. compiler.</t>
        </is>
      </c>
      <c r="L1113" t="inlineStr">
        <is>
          <t>Santa Barbara, Calif. : Hamilton Pub. Co., [1975]</t>
        </is>
      </c>
      <c r="M1113" t="inlineStr">
        <is>
          <t>1975</t>
        </is>
      </c>
      <c r="O1113" t="inlineStr">
        <is>
          <t>eng</t>
        </is>
      </c>
      <c r="P1113" t="inlineStr">
        <is>
          <t>cau</t>
        </is>
      </c>
      <c r="R1113" t="inlineStr">
        <is>
          <t xml:space="preserve">HV </t>
        </is>
      </c>
      <c r="S1113" t="n">
        <v>1</v>
      </c>
      <c r="T1113" t="n">
        <v>1</v>
      </c>
      <c r="U1113" t="inlineStr">
        <is>
          <t>2007-04-26</t>
        </is>
      </c>
      <c r="V1113" t="inlineStr">
        <is>
          <t>2007-04-26</t>
        </is>
      </c>
      <c r="W1113" t="inlineStr">
        <is>
          <t>1997-08-25</t>
        </is>
      </c>
      <c r="X1113" t="inlineStr">
        <is>
          <t>1997-08-25</t>
        </is>
      </c>
      <c r="Y1113" t="n">
        <v>242</v>
      </c>
      <c r="Z1113" t="n">
        <v>183</v>
      </c>
      <c r="AA1113" t="n">
        <v>293</v>
      </c>
      <c r="AB1113" t="n">
        <v>4</v>
      </c>
      <c r="AC1113" t="n">
        <v>4</v>
      </c>
      <c r="AD1113" t="n">
        <v>10</v>
      </c>
      <c r="AE1113" t="n">
        <v>13</v>
      </c>
      <c r="AF1113" t="n">
        <v>4</v>
      </c>
      <c r="AG1113" t="n">
        <v>4</v>
      </c>
      <c r="AH1113" t="n">
        <v>1</v>
      </c>
      <c r="AI1113" t="n">
        <v>2</v>
      </c>
      <c r="AJ1113" t="n">
        <v>5</v>
      </c>
      <c r="AK1113" t="n">
        <v>6</v>
      </c>
      <c r="AL1113" t="n">
        <v>3</v>
      </c>
      <c r="AM1113" t="n">
        <v>3</v>
      </c>
      <c r="AN1113" t="n">
        <v>0</v>
      </c>
      <c r="AO1113" t="n">
        <v>2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HYPERLINK("http://catalog.hathitrust.org/Record/007480620","HathiTrust Record")</f>
        <v/>
      </c>
      <c r="AS1113">
        <f>HYPERLINK("https://creighton-primo.hosted.exlibrisgroup.com/primo-explore/search?tab=default_tab&amp;search_scope=EVERYTHING&amp;vid=01CRU&amp;lang=en_US&amp;offset=0&amp;query=any,contains,991003565439702656","Catalog Record")</f>
        <v/>
      </c>
      <c r="AT1113">
        <f>HYPERLINK("http://www.worldcat.org/oclc/1137984","WorldCat Record")</f>
        <v/>
      </c>
      <c r="AU1113" t="inlineStr">
        <is>
          <t>54589209:eng</t>
        </is>
      </c>
      <c r="AV1113" t="inlineStr">
        <is>
          <t>1137984</t>
        </is>
      </c>
      <c r="AW1113" t="inlineStr">
        <is>
          <t>991003565439702656</t>
        </is>
      </c>
      <c r="AX1113" t="inlineStr">
        <is>
          <t>991003565439702656</t>
        </is>
      </c>
      <c r="AY1113" t="inlineStr">
        <is>
          <t>2268482310002656</t>
        </is>
      </c>
      <c r="AZ1113" t="inlineStr">
        <is>
          <t>BOOK</t>
        </is>
      </c>
      <c r="BB1113" t="inlineStr">
        <is>
          <t>9780471144748</t>
        </is>
      </c>
      <c r="BC1113" t="inlineStr">
        <is>
          <t>32285003158846</t>
        </is>
      </c>
      <c r="BD1113" t="inlineStr">
        <is>
          <t>893611172</t>
        </is>
      </c>
    </row>
    <row r="1114">
      <c r="A1114" t="inlineStr">
        <is>
          <t>No</t>
        </is>
      </c>
      <c r="B1114" t="inlineStr">
        <is>
          <t>HV8138 .C49</t>
        </is>
      </c>
      <c r="C1114" t="inlineStr">
        <is>
          <t>0                      HV 8138000C  49</t>
        </is>
      </c>
      <c r="D1114" t="inlineStr">
        <is>
          <t>Introduction to criminal justice / [by] Neil C. Chamelin, Vernon B. Fox [and] Paul M. Whisenand.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Chamelin, Neil C., 1942-</t>
        </is>
      </c>
      <c r="L1114" t="inlineStr">
        <is>
          <t>Englewood Cliffs, N.J. : Prentice-Hall, [1975]</t>
        </is>
      </c>
      <c r="M1114" t="inlineStr">
        <is>
          <t>1975</t>
        </is>
      </c>
      <c r="O1114" t="inlineStr">
        <is>
          <t>eng</t>
        </is>
      </c>
      <c r="P1114" t="inlineStr">
        <is>
          <t>nju</t>
        </is>
      </c>
      <c r="R1114" t="inlineStr">
        <is>
          <t xml:space="preserve">HV </t>
        </is>
      </c>
      <c r="S1114" t="n">
        <v>13</v>
      </c>
      <c r="T1114" t="n">
        <v>13</v>
      </c>
      <c r="U1114" t="inlineStr">
        <is>
          <t>2003-12-03</t>
        </is>
      </c>
      <c r="V1114" t="inlineStr">
        <is>
          <t>2003-12-03</t>
        </is>
      </c>
      <c r="W1114" t="inlineStr">
        <is>
          <t>1992-05-01</t>
        </is>
      </c>
      <c r="X1114" t="inlineStr">
        <is>
          <t>1992-05-01</t>
        </is>
      </c>
      <c r="Y1114" t="n">
        <v>290</v>
      </c>
      <c r="Z1114" t="n">
        <v>252</v>
      </c>
      <c r="AA1114" t="n">
        <v>347</v>
      </c>
      <c r="AB1114" t="n">
        <v>3</v>
      </c>
      <c r="AC1114" t="n">
        <v>3</v>
      </c>
      <c r="AD1114" t="n">
        <v>10</v>
      </c>
      <c r="AE1114" t="n">
        <v>15</v>
      </c>
      <c r="AF1114" t="n">
        <v>4</v>
      </c>
      <c r="AG1114" t="n">
        <v>7</v>
      </c>
      <c r="AH1114" t="n">
        <v>1</v>
      </c>
      <c r="AI1114" t="n">
        <v>2</v>
      </c>
      <c r="AJ1114" t="n">
        <v>3</v>
      </c>
      <c r="AK1114" t="n">
        <v>3</v>
      </c>
      <c r="AL1114" t="n">
        <v>1</v>
      </c>
      <c r="AM1114" t="n">
        <v>1</v>
      </c>
      <c r="AN1114" t="n">
        <v>4</v>
      </c>
      <c r="AO1114" t="n">
        <v>6</v>
      </c>
      <c r="AP1114" t="inlineStr">
        <is>
          <t>No</t>
        </is>
      </c>
      <c r="AQ1114" t="inlineStr">
        <is>
          <t>No</t>
        </is>
      </c>
      <c r="AS1114">
        <f>HYPERLINK("https://creighton-primo.hosted.exlibrisgroup.com/primo-explore/search?tab=default_tab&amp;search_scope=EVERYTHING&amp;vid=01CRU&amp;lang=en_US&amp;offset=0&amp;query=any,contains,991003419289702656","Catalog Record")</f>
        <v/>
      </c>
      <c r="AT1114">
        <f>HYPERLINK("http://www.worldcat.org/oclc/960187","WorldCat Record")</f>
        <v/>
      </c>
      <c r="AU1114" t="inlineStr">
        <is>
          <t>1910761:eng</t>
        </is>
      </c>
      <c r="AV1114" t="inlineStr">
        <is>
          <t>960187</t>
        </is>
      </c>
      <c r="AW1114" t="inlineStr">
        <is>
          <t>991003419289702656</t>
        </is>
      </c>
      <c r="AX1114" t="inlineStr">
        <is>
          <t>991003419289702656</t>
        </is>
      </c>
      <c r="AY1114" t="inlineStr">
        <is>
          <t>2259088130002656</t>
        </is>
      </c>
      <c r="AZ1114" t="inlineStr">
        <is>
          <t>BOOK</t>
        </is>
      </c>
      <c r="BB1114" t="inlineStr">
        <is>
          <t>9780134800202</t>
        </is>
      </c>
      <c r="BC1114" t="inlineStr">
        <is>
          <t>32285001090512</t>
        </is>
      </c>
      <c r="BD1114" t="inlineStr">
        <is>
          <t>893623460</t>
        </is>
      </c>
    </row>
    <row r="1115">
      <c r="A1115" t="inlineStr">
        <is>
          <t>No</t>
        </is>
      </c>
      <c r="B1115" t="inlineStr">
        <is>
          <t>HV8138 .C595</t>
        </is>
      </c>
      <c r="C1115" t="inlineStr">
        <is>
          <t>0                      HV 8138000C  595</t>
        </is>
      </c>
      <c r="D1115" t="inlineStr">
        <is>
          <t>The criminal justice system and its psychology / Alfred Cohn and Roy Udolf.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Cohn, Alfred, 1936-</t>
        </is>
      </c>
      <c r="L1115" t="inlineStr">
        <is>
          <t>New York : Van Nostrand Reinhold, c1979.</t>
        </is>
      </c>
      <c r="M1115" t="inlineStr">
        <is>
          <t>1979</t>
        </is>
      </c>
      <c r="O1115" t="inlineStr">
        <is>
          <t>eng</t>
        </is>
      </c>
      <c r="P1115" t="inlineStr">
        <is>
          <t>nyu</t>
        </is>
      </c>
      <c r="R1115" t="inlineStr">
        <is>
          <t xml:space="preserve">HV </t>
        </is>
      </c>
      <c r="S1115" t="n">
        <v>10</v>
      </c>
      <c r="T1115" t="n">
        <v>10</v>
      </c>
      <c r="U1115" t="inlineStr">
        <is>
          <t>1996-10-28</t>
        </is>
      </c>
      <c r="V1115" t="inlineStr">
        <is>
          <t>1996-10-28</t>
        </is>
      </c>
      <c r="W1115" t="inlineStr">
        <is>
          <t>1992-07-14</t>
        </is>
      </c>
      <c r="X1115" t="inlineStr">
        <is>
          <t>1992-07-14</t>
        </is>
      </c>
      <c r="Y1115" t="n">
        <v>545</v>
      </c>
      <c r="Z1115" t="n">
        <v>474</v>
      </c>
      <c r="AA1115" t="n">
        <v>480</v>
      </c>
      <c r="AB1115" t="n">
        <v>4</v>
      </c>
      <c r="AC1115" t="n">
        <v>4</v>
      </c>
      <c r="AD1115" t="n">
        <v>29</v>
      </c>
      <c r="AE1115" t="n">
        <v>29</v>
      </c>
      <c r="AF1115" t="n">
        <v>6</v>
      </c>
      <c r="AG1115" t="n">
        <v>6</v>
      </c>
      <c r="AH1115" t="n">
        <v>2</v>
      </c>
      <c r="AI1115" t="n">
        <v>2</v>
      </c>
      <c r="AJ1115" t="n">
        <v>8</v>
      </c>
      <c r="AK1115" t="n">
        <v>8</v>
      </c>
      <c r="AL1115" t="n">
        <v>3</v>
      </c>
      <c r="AM1115" t="n">
        <v>3</v>
      </c>
      <c r="AN1115" t="n">
        <v>13</v>
      </c>
      <c r="AO1115" t="n">
        <v>13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HYPERLINK("http://catalog.hathitrust.org/Record/000256000","HathiTrust Record")</f>
        <v/>
      </c>
      <c r="AS1115">
        <f>HYPERLINK("https://creighton-primo.hosted.exlibrisgroup.com/primo-explore/search?tab=default_tab&amp;search_scope=EVERYTHING&amp;vid=01CRU&amp;lang=en_US&amp;offset=0&amp;query=any,contains,991004652899702656","Catalog Record")</f>
        <v/>
      </c>
      <c r="AT1115">
        <f>HYPERLINK("http://www.worldcat.org/oclc/4494479","WorldCat Record")</f>
        <v/>
      </c>
      <c r="AU1115" t="inlineStr">
        <is>
          <t>14768751:eng</t>
        </is>
      </c>
      <c r="AV1115" t="inlineStr">
        <is>
          <t>4494479</t>
        </is>
      </c>
      <c r="AW1115" t="inlineStr">
        <is>
          <t>991004652899702656</t>
        </is>
      </c>
      <c r="AX1115" t="inlineStr">
        <is>
          <t>991004652899702656</t>
        </is>
      </c>
      <c r="AY1115" t="inlineStr">
        <is>
          <t>2267621100002656</t>
        </is>
      </c>
      <c r="AZ1115" t="inlineStr">
        <is>
          <t>BOOK</t>
        </is>
      </c>
      <c r="BB1115" t="inlineStr">
        <is>
          <t>9780442288822</t>
        </is>
      </c>
      <c r="BC1115" t="inlineStr">
        <is>
          <t>32285001182574</t>
        </is>
      </c>
      <c r="BD1115" t="inlineStr">
        <is>
          <t>893895251</t>
        </is>
      </c>
    </row>
    <row r="1116">
      <c r="A1116" t="inlineStr">
        <is>
          <t>No</t>
        </is>
      </c>
      <c r="B1116" t="inlineStr">
        <is>
          <t>HV8138 .F44</t>
        </is>
      </c>
      <c r="C1116" t="inlineStr">
        <is>
          <t>0                      HV 8138000F  44</t>
        </is>
      </c>
      <c r="D1116" t="inlineStr">
        <is>
          <t>The criminal justice system : its functions and personnel / [by] George T. Felkenes.</t>
        </is>
      </c>
      <c r="F1116" t="inlineStr">
        <is>
          <t>No</t>
        </is>
      </c>
      <c r="G1116" t="inlineStr">
        <is>
          <t>1</t>
        </is>
      </c>
      <c r="H1116" t="inlineStr">
        <is>
          <t>Yes</t>
        </is>
      </c>
      <c r="I1116" t="inlineStr">
        <is>
          <t>No</t>
        </is>
      </c>
      <c r="J1116" t="inlineStr">
        <is>
          <t>0</t>
        </is>
      </c>
      <c r="K1116" t="inlineStr">
        <is>
          <t>Felkenes, George T.</t>
        </is>
      </c>
      <c r="L1116" t="inlineStr">
        <is>
          <t>Englewood Cliffs, N.J. : Prentice-Hall, [1974, c1973]</t>
        </is>
      </c>
      <c r="M1116" t="inlineStr">
        <is>
          <t>1974</t>
        </is>
      </c>
      <c r="O1116" t="inlineStr">
        <is>
          <t>eng</t>
        </is>
      </c>
      <c r="P1116" t="inlineStr">
        <is>
          <t>nju</t>
        </is>
      </c>
      <c r="R1116" t="inlineStr">
        <is>
          <t xml:space="preserve">HV </t>
        </is>
      </c>
      <c r="S1116" t="n">
        <v>7</v>
      </c>
      <c r="T1116" t="n">
        <v>8</v>
      </c>
      <c r="U1116" t="inlineStr">
        <is>
          <t>2003-03-21</t>
        </is>
      </c>
      <c r="V1116" t="inlineStr">
        <is>
          <t>2003-03-21</t>
        </is>
      </c>
      <c r="W1116" t="inlineStr">
        <is>
          <t>1993-04-07</t>
        </is>
      </c>
      <c r="X1116" t="inlineStr">
        <is>
          <t>1993-04-07</t>
        </is>
      </c>
      <c r="Y1116" t="n">
        <v>428</v>
      </c>
      <c r="Z1116" t="n">
        <v>395</v>
      </c>
      <c r="AA1116" t="n">
        <v>495</v>
      </c>
      <c r="AB1116" t="n">
        <v>6</v>
      </c>
      <c r="AC1116" t="n">
        <v>8</v>
      </c>
      <c r="AD1116" t="n">
        <v>19</v>
      </c>
      <c r="AE1116" t="n">
        <v>23</v>
      </c>
      <c r="AF1116" t="n">
        <v>5</v>
      </c>
      <c r="AG1116" t="n">
        <v>5</v>
      </c>
      <c r="AH1116" t="n">
        <v>1</v>
      </c>
      <c r="AI1116" t="n">
        <v>1</v>
      </c>
      <c r="AJ1116" t="n">
        <v>6</v>
      </c>
      <c r="AK1116" t="n">
        <v>7</v>
      </c>
      <c r="AL1116" t="n">
        <v>3</v>
      </c>
      <c r="AM1116" t="n">
        <v>4</v>
      </c>
      <c r="AN1116" t="n">
        <v>5</v>
      </c>
      <c r="AO1116" t="n">
        <v>7</v>
      </c>
      <c r="AP1116" t="inlineStr">
        <is>
          <t>No</t>
        </is>
      </c>
      <c r="AQ1116" t="inlineStr">
        <is>
          <t>No</t>
        </is>
      </c>
      <c r="AS1116">
        <f>HYPERLINK("https://creighton-primo.hosted.exlibrisgroup.com/primo-explore/search?tab=default_tab&amp;search_scope=EVERYTHING&amp;vid=01CRU&amp;lang=en_US&amp;offset=0&amp;query=any,contains,991001669649702656","Catalog Record")</f>
        <v/>
      </c>
      <c r="AT1116">
        <f>HYPERLINK("http://www.worldcat.org/oclc/695773","WorldCat Record")</f>
        <v/>
      </c>
      <c r="AU1116" t="inlineStr">
        <is>
          <t>1812983:eng</t>
        </is>
      </c>
      <c r="AV1116" t="inlineStr">
        <is>
          <t>695773</t>
        </is>
      </c>
      <c r="AW1116" t="inlineStr">
        <is>
          <t>991001669649702656</t>
        </is>
      </c>
      <c r="AX1116" t="inlineStr">
        <is>
          <t>991001669649702656</t>
        </is>
      </c>
      <c r="AY1116" t="inlineStr">
        <is>
          <t>2267862160002656</t>
        </is>
      </c>
      <c r="AZ1116" t="inlineStr">
        <is>
          <t>BOOK</t>
        </is>
      </c>
      <c r="BB1116" t="inlineStr">
        <is>
          <t>9780131930520</t>
        </is>
      </c>
      <c r="BC1116" t="inlineStr">
        <is>
          <t>32285001604072</t>
        </is>
      </c>
      <c r="BD1116" t="inlineStr">
        <is>
          <t>893529103</t>
        </is>
      </c>
    </row>
    <row r="1117">
      <c r="A1117" t="inlineStr">
        <is>
          <t>No</t>
        </is>
      </c>
      <c r="B1117" t="inlineStr">
        <is>
          <t>HV8138 .F56 1976</t>
        </is>
      </c>
      <c r="C1117" t="inlineStr">
        <is>
          <t>0                      HV 8138000F  56          1976</t>
        </is>
      </c>
      <c r="D1117" t="inlineStr">
        <is>
          <t>American law enforcement / Vern L. Folley.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Folley, Vern L.</t>
        </is>
      </c>
      <c r="L1117" t="inlineStr">
        <is>
          <t>Boston : Holbrook Press, c1976.</t>
        </is>
      </c>
      <c r="M1117" t="inlineStr">
        <is>
          <t>1976</t>
        </is>
      </c>
      <c r="N1117" t="inlineStr">
        <is>
          <t>2d ed.</t>
        </is>
      </c>
      <c r="O1117" t="inlineStr">
        <is>
          <t>eng</t>
        </is>
      </c>
      <c r="P1117" t="inlineStr">
        <is>
          <t>mau</t>
        </is>
      </c>
      <c r="R1117" t="inlineStr">
        <is>
          <t xml:space="preserve">HV </t>
        </is>
      </c>
      <c r="S1117" t="n">
        <v>7</v>
      </c>
      <c r="T1117" t="n">
        <v>7</v>
      </c>
      <c r="U1117" t="inlineStr">
        <is>
          <t>2007-11-08</t>
        </is>
      </c>
      <c r="V1117" t="inlineStr">
        <is>
          <t>2007-11-08</t>
        </is>
      </c>
      <c r="W1117" t="inlineStr">
        <is>
          <t>1992-07-14</t>
        </is>
      </c>
      <c r="X1117" t="inlineStr">
        <is>
          <t>1992-07-14</t>
        </is>
      </c>
      <c r="Y1117" t="n">
        <v>144</v>
      </c>
      <c r="Z1117" t="n">
        <v>133</v>
      </c>
      <c r="AA1117" t="n">
        <v>381</v>
      </c>
      <c r="AB1117" t="n">
        <v>2</v>
      </c>
      <c r="AC1117" t="n">
        <v>5</v>
      </c>
      <c r="AD1117" t="n">
        <v>5</v>
      </c>
      <c r="AE1117" t="n">
        <v>14</v>
      </c>
      <c r="AF1117" t="n">
        <v>1</v>
      </c>
      <c r="AG1117" t="n">
        <v>3</v>
      </c>
      <c r="AH1117" t="n">
        <v>0</v>
      </c>
      <c r="AI1117" t="n">
        <v>2</v>
      </c>
      <c r="AJ1117" t="n">
        <v>1</v>
      </c>
      <c r="AK1117" t="n">
        <v>3</v>
      </c>
      <c r="AL1117" t="n">
        <v>1</v>
      </c>
      <c r="AM1117" t="n">
        <v>4</v>
      </c>
      <c r="AN1117" t="n">
        <v>2</v>
      </c>
      <c r="AO1117" t="n">
        <v>4</v>
      </c>
      <c r="AP1117" t="inlineStr">
        <is>
          <t>No</t>
        </is>
      </c>
      <c r="AQ1117" t="inlineStr">
        <is>
          <t>No</t>
        </is>
      </c>
      <c r="AS1117">
        <f>HYPERLINK("https://creighton-primo.hosted.exlibrisgroup.com/primo-explore/search?tab=default_tab&amp;search_scope=EVERYTHING&amp;vid=01CRU&amp;lang=en_US&amp;offset=0&amp;query=any,contains,991004001799702656","Catalog Record")</f>
        <v/>
      </c>
      <c r="AT1117">
        <f>HYPERLINK("http://www.worldcat.org/oclc/2074289","WorldCat Record")</f>
        <v/>
      </c>
      <c r="AU1117" t="inlineStr">
        <is>
          <t>1726399:eng</t>
        </is>
      </c>
      <c r="AV1117" t="inlineStr">
        <is>
          <t>2074289</t>
        </is>
      </c>
      <c r="AW1117" t="inlineStr">
        <is>
          <t>991004001799702656</t>
        </is>
      </c>
      <c r="AX1117" t="inlineStr">
        <is>
          <t>991004001799702656</t>
        </is>
      </c>
      <c r="AY1117" t="inlineStr">
        <is>
          <t>2264082570002656</t>
        </is>
      </c>
      <c r="AZ1117" t="inlineStr">
        <is>
          <t>BOOK</t>
        </is>
      </c>
      <c r="BC1117" t="inlineStr">
        <is>
          <t>32285001182608</t>
        </is>
      </c>
      <c r="BD1117" t="inlineStr">
        <is>
          <t>893512673</t>
        </is>
      </c>
    </row>
    <row r="1118">
      <c r="A1118" t="inlineStr">
        <is>
          <t>No</t>
        </is>
      </c>
      <c r="B1118" t="inlineStr">
        <is>
          <t>HV8138 .H82 1984</t>
        </is>
      </c>
      <c r="C1118" t="inlineStr">
        <is>
          <t>0                      HV 8138000H  82          1984</t>
        </is>
      </c>
      <c r="D1118" t="inlineStr">
        <is>
          <t>Federal aid to criminal justice : rhetoric, results, lessons / John K. Hudzik with contributions by Thomas J. Madden ... [et al.].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K1118" t="inlineStr">
        <is>
          <t>Hudzik, John K.</t>
        </is>
      </c>
      <c r="L1118" t="inlineStr">
        <is>
          <t>Washington, D.C. : National Criminal Justice Association, c1984.</t>
        </is>
      </c>
      <c r="M1118" t="inlineStr">
        <is>
          <t>1984</t>
        </is>
      </c>
      <c r="O1118" t="inlineStr">
        <is>
          <t>eng</t>
        </is>
      </c>
      <c r="P1118" t="inlineStr">
        <is>
          <t>dcu</t>
        </is>
      </c>
      <c r="R1118" t="inlineStr">
        <is>
          <t xml:space="preserve">HV </t>
        </is>
      </c>
      <c r="S1118" t="n">
        <v>9</v>
      </c>
      <c r="T1118" t="n">
        <v>9</v>
      </c>
      <c r="U1118" t="inlineStr">
        <is>
          <t>2003-03-21</t>
        </is>
      </c>
      <c r="V1118" t="inlineStr">
        <is>
          <t>2003-03-21</t>
        </is>
      </c>
      <c r="W1118" t="inlineStr">
        <is>
          <t>1992-04-30</t>
        </is>
      </c>
      <c r="X1118" t="inlineStr">
        <is>
          <t>1992-04-30</t>
        </is>
      </c>
      <c r="Y1118" t="n">
        <v>62</v>
      </c>
      <c r="Z1118" t="n">
        <v>59</v>
      </c>
      <c r="AA1118" t="n">
        <v>59</v>
      </c>
      <c r="AB1118" t="n">
        <v>1</v>
      </c>
      <c r="AC1118" t="n">
        <v>1</v>
      </c>
      <c r="AD1118" t="n">
        <v>1</v>
      </c>
      <c r="AE1118" t="n">
        <v>1</v>
      </c>
      <c r="AF1118" t="n">
        <v>0</v>
      </c>
      <c r="AG1118" t="n">
        <v>0</v>
      </c>
      <c r="AH1118" t="n">
        <v>0</v>
      </c>
      <c r="AI1118" t="n">
        <v>0</v>
      </c>
      <c r="AJ1118" t="n">
        <v>0</v>
      </c>
      <c r="AK1118" t="n">
        <v>0</v>
      </c>
      <c r="AL1118" t="n">
        <v>0</v>
      </c>
      <c r="AM1118" t="n">
        <v>0</v>
      </c>
      <c r="AN1118" t="n">
        <v>1</v>
      </c>
      <c r="AO1118" t="n">
        <v>1</v>
      </c>
      <c r="AP1118" t="inlineStr">
        <is>
          <t>No</t>
        </is>
      </c>
      <c r="AQ1118" t="inlineStr">
        <is>
          <t>No</t>
        </is>
      </c>
      <c r="AS1118">
        <f>HYPERLINK("https://creighton-primo.hosted.exlibrisgroup.com/primo-explore/search?tab=default_tab&amp;search_scope=EVERYTHING&amp;vid=01CRU&amp;lang=en_US&amp;offset=0&amp;query=any,contains,991000435819702656","Catalog Record")</f>
        <v/>
      </c>
      <c r="AT1118">
        <f>HYPERLINK("http://www.worldcat.org/oclc/10796982","WorldCat Record")</f>
        <v/>
      </c>
      <c r="AU1118" t="inlineStr">
        <is>
          <t>3771830:eng</t>
        </is>
      </c>
      <c r="AV1118" t="inlineStr">
        <is>
          <t>10796982</t>
        </is>
      </c>
      <c r="AW1118" t="inlineStr">
        <is>
          <t>991000435819702656</t>
        </is>
      </c>
      <c r="AX1118" t="inlineStr">
        <is>
          <t>991000435819702656</t>
        </is>
      </c>
      <c r="AY1118" t="inlineStr">
        <is>
          <t>2271009820002656</t>
        </is>
      </c>
      <c r="AZ1118" t="inlineStr">
        <is>
          <t>BOOK</t>
        </is>
      </c>
      <c r="BC1118" t="inlineStr">
        <is>
          <t>32285001090504</t>
        </is>
      </c>
      <c r="BD1118" t="inlineStr">
        <is>
          <t>893407180</t>
        </is>
      </c>
    </row>
    <row r="1119">
      <c r="A1119" t="inlineStr">
        <is>
          <t>No</t>
        </is>
      </c>
      <c r="B1119" t="inlineStr">
        <is>
          <t>HV8138 .I46</t>
        </is>
      </c>
      <c r="C1119" t="inlineStr">
        <is>
          <t>0                      HV 8138000I  46</t>
        </is>
      </c>
      <c r="D1119" t="inlineStr">
        <is>
          <t>Improving management in criminal justice / edited by Alvin W. Cohn and Benjamin Ward.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Beverly Hills, Calif. : Sage Publications ; [Columbus, OH] : American Society of Criminology, c1980.</t>
        </is>
      </c>
      <c r="M1119" t="inlineStr">
        <is>
          <t>1980</t>
        </is>
      </c>
      <c r="O1119" t="inlineStr">
        <is>
          <t>eng</t>
        </is>
      </c>
      <c r="P1119" t="inlineStr">
        <is>
          <t>cau</t>
        </is>
      </c>
      <c r="Q1119" t="inlineStr">
        <is>
          <t>Sage research progress series in criminology ; v. 17</t>
        </is>
      </c>
      <c r="R1119" t="inlineStr">
        <is>
          <t xml:space="preserve">HV </t>
        </is>
      </c>
      <c r="S1119" t="n">
        <v>6</v>
      </c>
      <c r="T1119" t="n">
        <v>6</v>
      </c>
      <c r="U1119" t="inlineStr">
        <is>
          <t>1995-10-23</t>
        </is>
      </c>
      <c r="V1119" t="inlineStr">
        <is>
          <t>1995-10-23</t>
        </is>
      </c>
      <c r="W1119" t="inlineStr">
        <is>
          <t>1992-07-14</t>
        </is>
      </c>
      <c r="X1119" t="inlineStr">
        <is>
          <t>1992-07-14</t>
        </is>
      </c>
      <c r="Y1119" t="n">
        <v>307</v>
      </c>
      <c r="Z1119" t="n">
        <v>260</v>
      </c>
      <c r="AA1119" t="n">
        <v>268</v>
      </c>
      <c r="AB1119" t="n">
        <v>3</v>
      </c>
      <c r="AC1119" t="n">
        <v>3</v>
      </c>
      <c r="AD1119" t="n">
        <v>14</v>
      </c>
      <c r="AE1119" t="n">
        <v>14</v>
      </c>
      <c r="AF1119" t="n">
        <v>3</v>
      </c>
      <c r="AG1119" t="n">
        <v>3</v>
      </c>
      <c r="AH1119" t="n">
        <v>3</v>
      </c>
      <c r="AI1119" t="n">
        <v>3</v>
      </c>
      <c r="AJ1119" t="n">
        <v>5</v>
      </c>
      <c r="AK1119" t="n">
        <v>5</v>
      </c>
      <c r="AL1119" t="n">
        <v>2</v>
      </c>
      <c r="AM1119" t="n">
        <v>2</v>
      </c>
      <c r="AN1119" t="n">
        <v>4</v>
      </c>
      <c r="AO1119" t="n">
        <v>4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HYPERLINK("http://catalog.hathitrust.org/Record/000481459","HathiTrust Record")</f>
        <v/>
      </c>
      <c r="AS1119">
        <f>HYPERLINK("https://creighton-primo.hosted.exlibrisgroup.com/primo-explore/search?tab=default_tab&amp;search_scope=EVERYTHING&amp;vid=01CRU&amp;lang=en_US&amp;offset=0&amp;query=any,contains,991004990589702656","Catalog Record")</f>
        <v/>
      </c>
      <c r="AT1119">
        <f>HYPERLINK("http://www.worldcat.org/oclc/6487133","WorldCat Record")</f>
        <v/>
      </c>
      <c r="AU1119" t="inlineStr">
        <is>
          <t>426816075:eng</t>
        </is>
      </c>
      <c r="AV1119" t="inlineStr">
        <is>
          <t>6487133</t>
        </is>
      </c>
      <c r="AW1119" t="inlineStr">
        <is>
          <t>991004990589702656</t>
        </is>
      </c>
      <c r="AX1119" t="inlineStr">
        <is>
          <t>991004990589702656</t>
        </is>
      </c>
      <c r="AY1119" t="inlineStr">
        <is>
          <t>2271771370002656</t>
        </is>
      </c>
      <c r="AZ1119" t="inlineStr">
        <is>
          <t>BOOK</t>
        </is>
      </c>
      <c r="BB1119" t="inlineStr">
        <is>
          <t>9780803915152</t>
        </is>
      </c>
      <c r="BC1119" t="inlineStr">
        <is>
          <t>32285001182624</t>
        </is>
      </c>
      <c r="BD1119" t="inlineStr">
        <is>
          <t>893520265</t>
        </is>
      </c>
    </row>
    <row r="1120">
      <c r="A1120" t="inlineStr">
        <is>
          <t>No</t>
        </is>
      </c>
      <c r="B1120" t="inlineStr">
        <is>
          <t>HV8138 .L317</t>
        </is>
      </c>
      <c r="C1120" t="inlineStr">
        <is>
          <t>0                      HV 8138000L  317</t>
        </is>
      </c>
      <c r="D1120" t="inlineStr">
        <is>
          <t>Law and order in American history / edited by Joseph M. Hawes.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Port Washington, N.Y. : Kennikat Press, 1979.</t>
        </is>
      </c>
      <c r="M1120" t="inlineStr">
        <is>
          <t>1979</t>
        </is>
      </c>
      <c r="O1120" t="inlineStr">
        <is>
          <t>eng</t>
        </is>
      </c>
      <c r="P1120" t="inlineStr">
        <is>
          <t>nyu</t>
        </is>
      </c>
      <c r="Q1120" t="inlineStr">
        <is>
          <t>Multi-disciplinary studies in the law</t>
        </is>
      </c>
      <c r="R1120" t="inlineStr">
        <is>
          <t xml:space="preserve">HV </t>
        </is>
      </c>
      <c r="S1120" t="n">
        <v>3</v>
      </c>
      <c r="T1120" t="n">
        <v>3</v>
      </c>
      <c r="U1120" t="inlineStr">
        <is>
          <t>2003-04-23</t>
        </is>
      </c>
      <c r="V1120" t="inlineStr">
        <is>
          <t>2003-04-23</t>
        </is>
      </c>
      <c r="W1120" t="inlineStr">
        <is>
          <t>1993-11-23</t>
        </is>
      </c>
      <c r="X1120" t="inlineStr">
        <is>
          <t>1993-11-23</t>
        </is>
      </c>
      <c r="Y1120" t="n">
        <v>485</v>
      </c>
      <c r="Z1120" t="n">
        <v>435</v>
      </c>
      <c r="AA1120" t="n">
        <v>436</v>
      </c>
      <c r="AB1120" t="n">
        <v>3</v>
      </c>
      <c r="AC1120" t="n">
        <v>3</v>
      </c>
      <c r="AD1120" t="n">
        <v>27</v>
      </c>
      <c r="AE1120" t="n">
        <v>27</v>
      </c>
      <c r="AF1120" t="n">
        <v>3</v>
      </c>
      <c r="AG1120" t="n">
        <v>3</v>
      </c>
      <c r="AH1120" t="n">
        <v>5</v>
      </c>
      <c r="AI1120" t="n">
        <v>5</v>
      </c>
      <c r="AJ1120" t="n">
        <v>7</v>
      </c>
      <c r="AK1120" t="n">
        <v>7</v>
      </c>
      <c r="AL1120" t="n">
        <v>2</v>
      </c>
      <c r="AM1120" t="n">
        <v>2</v>
      </c>
      <c r="AN1120" t="n">
        <v>13</v>
      </c>
      <c r="AO1120" t="n">
        <v>13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HYPERLINK("https://creighton-primo.hosted.exlibrisgroup.com/primo-explore/search?tab=default_tab&amp;search_scope=EVERYTHING&amp;vid=01CRU&amp;lang=en_US&amp;offset=0&amp;query=any,contains,991004695489702656","Catalog Record")</f>
        <v/>
      </c>
      <c r="AT1120">
        <f>HYPERLINK("http://www.worldcat.org/oclc/4639074","WorldCat Record")</f>
        <v/>
      </c>
      <c r="AU1120" t="inlineStr">
        <is>
          <t>459092:eng</t>
        </is>
      </c>
      <c r="AV1120" t="inlineStr">
        <is>
          <t>4639074</t>
        </is>
      </c>
      <c r="AW1120" t="inlineStr">
        <is>
          <t>991004695489702656</t>
        </is>
      </c>
      <c r="AX1120" t="inlineStr">
        <is>
          <t>991004695489702656</t>
        </is>
      </c>
      <c r="AY1120" t="inlineStr">
        <is>
          <t>2255488610002656</t>
        </is>
      </c>
      <c r="AZ1120" t="inlineStr">
        <is>
          <t>BOOK</t>
        </is>
      </c>
      <c r="BB1120" t="inlineStr">
        <is>
          <t>9780804692380</t>
        </is>
      </c>
      <c r="BC1120" t="inlineStr">
        <is>
          <t>32285001688075</t>
        </is>
      </c>
      <c r="BD1120" t="inlineStr">
        <is>
          <t>893417888</t>
        </is>
      </c>
    </row>
    <row r="1121">
      <c r="A1121" t="inlineStr">
        <is>
          <t>No</t>
        </is>
      </c>
      <c r="B1121" t="inlineStr">
        <is>
          <t>HV8138 .L57</t>
        </is>
      </c>
      <c r="C1121" t="inlineStr">
        <is>
          <t>0                      HV 8138000L  57</t>
        </is>
      </c>
      <c r="D1121" t="inlineStr">
        <is>
          <t>Bureaucratic justice : police, prosecutors, and plea bargaining / W. Boyd Littrell ; foreword by Gresham M. Sykes.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Littrell, W. Boyd.</t>
        </is>
      </c>
      <c r="L1121" t="inlineStr">
        <is>
          <t>Beverly Hills, Calif. : Sage Publications, c1979.</t>
        </is>
      </c>
      <c r="M1121" t="inlineStr">
        <is>
          <t>1979</t>
        </is>
      </c>
      <c r="O1121" t="inlineStr">
        <is>
          <t>eng</t>
        </is>
      </c>
      <c r="P1121" t="inlineStr">
        <is>
          <t>cau</t>
        </is>
      </c>
      <c r="Q1121" t="inlineStr">
        <is>
          <t>Sage library of social research ; v. 93</t>
        </is>
      </c>
      <c r="R1121" t="inlineStr">
        <is>
          <t xml:space="preserve">HV </t>
        </is>
      </c>
      <c r="S1121" t="n">
        <v>6</v>
      </c>
      <c r="T1121" t="n">
        <v>6</v>
      </c>
      <c r="U1121" t="inlineStr">
        <is>
          <t>2010-05-04</t>
        </is>
      </c>
      <c r="V1121" t="inlineStr">
        <is>
          <t>2010-05-04</t>
        </is>
      </c>
      <c r="W1121" t="inlineStr">
        <is>
          <t>1992-07-14</t>
        </is>
      </c>
      <c r="X1121" t="inlineStr">
        <is>
          <t>1992-07-14</t>
        </is>
      </c>
      <c r="Y1121" t="n">
        <v>384</v>
      </c>
      <c r="Z1121" t="n">
        <v>325</v>
      </c>
      <c r="AA1121" t="n">
        <v>331</v>
      </c>
      <c r="AB1121" t="n">
        <v>2</v>
      </c>
      <c r="AC1121" t="n">
        <v>2</v>
      </c>
      <c r="AD1121" t="n">
        <v>18</v>
      </c>
      <c r="AE1121" t="n">
        <v>18</v>
      </c>
      <c r="AF1121" t="n">
        <v>5</v>
      </c>
      <c r="AG1121" t="n">
        <v>5</v>
      </c>
      <c r="AH1121" t="n">
        <v>2</v>
      </c>
      <c r="AI1121" t="n">
        <v>2</v>
      </c>
      <c r="AJ1121" t="n">
        <v>7</v>
      </c>
      <c r="AK1121" t="n">
        <v>7</v>
      </c>
      <c r="AL1121" t="n">
        <v>1</v>
      </c>
      <c r="AM1121" t="n">
        <v>1</v>
      </c>
      <c r="AN1121" t="n">
        <v>7</v>
      </c>
      <c r="AO1121" t="n">
        <v>7</v>
      </c>
      <c r="AP1121" t="inlineStr">
        <is>
          <t>No</t>
        </is>
      </c>
      <c r="AQ1121" t="inlineStr">
        <is>
          <t>No</t>
        </is>
      </c>
      <c r="AS1121">
        <f>HYPERLINK("https://creighton-primo.hosted.exlibrisgroup.com/primo-explore/search?tab=default_tab&amp;search_scope=EVERYTHING&amp;vid=01CRU&amp;lang=en_US&amp;offset=0&amp;query=any,contains,991004804529702656","Catalog Record")</f>
        <v/>
      </c>
      <c r="AT1121">
        <f>HYPERLINK("http://www.worldcat.org/oclc/5239497","WorldCat Record")</f>
        <v/>
      </c>
      <c r="AU1121" t="inlineStr">
        <is>
          <t>198408219:eng</t>
        </is>
      </c>
      <c r="AV1121" t="inlineStr">
        <is>
          <t>5239497</t>
        </is>
      </c>
      <c r="AW1121" t="inlineStr">
        <is>
          <t>991004804529702656</t>
        </is>
      </c>
      <c r="AX1121" t="inlineStr">
        <is>
          <t>991004804529702656</t>
        </is>
      </c>
      <c r="AY1121" t="inlineStr">
        <is>
          <t>2264380980002656</t>
        </is>
      </c>
      <c r="AZ1121" t="inlineStr">
        <is>
          <t>BOOK</t>
        </is>
      </c>
      <c r="BB1121" t="inlineStr">
        <is>
          <t>9780803912649</t>
        </is>
      </c>
      <c r="BC1121" t="inlineStr">
        <is>
          <t>32285001182665</t>
        </is>
      </c>
      <c r="BD1121" t="inlineStr">
        <is>
          <t>893706856</t>
        </is>
      </c>
    </row>
    <row r="1122">
      <c r="A1122" t="inlineStr">
        <is>
          <t>No</t>
        </is>
      </c>
      <c r="B1122" t="inlineStr">
        <is>
          <t>HV8138 .M29</t>
        </is>
      </c>
      <c r="C1122" t="inlineStr">
        <is>
          <t>0                      HV 8138000M  29</t>
        </is>
      </c>
      <c r="D1122" t="inlineStr">
        <is>
          <t>Christian faith and criminal justice : toward a Christian response to crime and punishment / by Gerald Austin McHugh.</t>
        </is>
      </c>
      <c r="F1122" t="inlineStr">
        <is>
          <t>No</t>
        </is>
      </c>
      <c r="G1122" t="inlineStr">
        <is>
          <t>1</t>
        </is>
      </c>
      <c r="H1122" t="inlineStr">
        <is>
          <t>Yes</t>
        </is>
      </c>
      <c r="I1122" t="inlineStr">
        <is>
          <t>No</t>
        </is>
      </c>
      <c r="J1122" t="inlineStr">
        <is>
          <t>0</t>
        </is>
      </c>
      <c r="K1122" t="inlineStr">
        <is>
          <t>McHugh, Gerald Austin.</t>
        </is>
      </c>
      <c r="L1122" t="inlineStr">
        <is>
          <t>New York : Paulist Press, c1978.</t>
        </is>
      </c>
      <c r="M1122" t="inlineStr">
        <is>
          <t>1978</t>
        </is>
      </c>
      <c r="O1122" t="inlineStr">
        <is>
          <t>eng</t>
        </is>
      </c>
      <c r="P1122" t="inlineStr">
        <is>
          <t>nyu</t>
        </is>
      </c>
      <c r="Q1122" t="inlineStr">
        <is>
          <t>A Deus book</t>
        </is>
      </c>
      <c r="R1122" t="inlineStr">
        <is>
          <t xml:space="preserve">HV </t>
        </is>
      </c>
      <c r="S1122" t="n">
        <v>1</v>
      </c>
      <c r="T1122" t="n">
        <v>1</v>
      </c>
      <c r="U1122" t="inlineStr">
        <is>
          <t>2001-11-28</t>
        </is>
      </c>
      <c r="V1122" t="inlineStr">
        <is>
          <t>2001-11-28</t>
        </is>
      </c>
      <c r="W1122" t="inlineStr">
        <is>
          <t>1993-05-28</t>
        </is>
      </c>
      <c r="X1122" t="inlineStr">
        <is>
          <t>1993-05-28</t>
        </is>
      </c>
      <c r="Y1122" t="n">
        <v>312</v>
      </c>
      <c r="Z1122" t="n">
        <v>276</v>
      </c>
      <c r="AA1122" t="n">
        <v>282</v>
      </c>
      <c r="AB1122" t="n">
        <v>3</v>
      </c>
      <c r="AC1122" t="n">
        <v>3</v>
      </c>
      <c r="AD1122" t="n">
        <v>25</v>
      </c>
      <c r="AE1122" t="n">
        <v>25</v>
      </c>
      <c r="AF1122" t="n">
        <v>9</v>
      </c>
      <c r="AG1122" t="n">
        <v>9</v>
      </c>
      <c r="AH1122" t="n">
        <v>5</v>
      </c>
      <c r="AI1122" t="n">
        <v>5</v>
      </c>
      <c r="AJ1122" t="n">
        <v>14</v>
      </c>
      <c r="AK1122" t="n">
        <v>14</v>
      </c>
      <c r="AL1122" t="n">
        <v>1</v>
      </c>
      <c r="AM1122" t="n">
        <v>1</v>
      </c>
      <c r="AN1122" t="n">
        <v>2</v>
      </c>
      <c r="AO1122" t="n">
        <v>2</v>
      </c>
      <c r="AP1122" t="inlineStr">
        <is>
          <t>No</t>
        </is>
      </c>
      <c r="AQ1122" t="inlineStr">
        <is>
          <t>Yes</t>
        </is>
      </c>
      <c r="AR1122">
        <f>HYPERLINK("http://catalog.hathitrust.org/Record/102210895","HathiTrust Record")</f>
        <v/>
      </c>
      <c r="AS1122">
        <f>HYPERLINK("https://creighton-primo.hosted.exlibrisgroup.com/primo-explore/search?tab=default_tab&amp;search_scope=EVERYTHING&amp;vid=01CRU&amp;lang=en_US&amp;offset=0&amp;query=any,contains,991001792899702656","Catalog Record")</f>
        <v/>
      </c>
      <c r="AT1122">
        <f>HYPERLINK("http://www.worldcat.org/oclc/4392293","WorldCat Record")</f>
        <v/>
      </c>
      <c r="AU1122" t="inlineStr">
        <is>
          <t>905775140:eng</t>
        </is>
      </c>
      <c r="AV1122" t="inlineStr">
        <is>
          <t>4392293</t>
        </is>
      </c>
      <c r="AW1122" t="inlineStr">
        <is>
          <t>991001792899702656</t>
        </is>
      </c>
      <c r="AX1122" t="inlineStr">
        <is>
          <t>991001792899702656</t>
        </is>
      </c>
      <c r="AY1122" t="inlineStr">
        <is>
          <t>2254810840002656</t>
        </is>
      </c>
      <c r="AZ1122" t="inlineStr">
        <is>
          <t>BOOK</t>
        </is>
      </c>
      <c r="BB1122" t="inlineStr">
        <is>
          <t>9780809121052</t>
        </is>
      </c>
      <c r="BC1122" t="inlineStr">
        <is>
          <t>32285001693398</t>
        </is>
      </c>
      <c r="BD1122" t="inlineStr">
        <is>
          <t>893503703</t>
        </is>
      </c>
    </row>
    <row r="1123">
      <c r="A1123" t="inlineStr">
        <is>
          <t>No</t>
        </is>
      </c>
      <c r="B1123" t="inlineStr">
        <is>
          <t>HV8138 .M34 1982</t>
        </is>
      </c>
      <c r="C1123" t="inlineStr">
        <is>
          <t>0                      HV 8138000M  34          1982</t>
        </is>
      </c>
      <c r="D1123" t="inlineStr">
        <is>
          <t>Managing police work : issues and analysis / edited by Jack R. Greene.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Beverly Hills : Sage Publications, c1982.</t>
        </is>
      </c>
      <c r="M1123" t="inlineStr">
        <is>
          <t>1982</t>
        </is>
      </c>
      <c r="O1123" t="inlineStr">
        <is>
          <t>eng</t>
        </is>
      </c>
      <c r="P1123" t="inlineStr">
        <is>
          <t>cau</t>
        </is>
      </c>
      <c r="Q1123" t="inlineStr">
        <is>
          <t>Perspectives in criminal justice ; 4</t>
        </is>
      </c>
      <c r="R1123" t="inlineStr">
        <is>
          <t xml:space="preserve">HV </t>
        </is>
      </c>
      <c r="S1123" t="n">
        <v>14</v>
      </c>
      <c r="T1123" t="n">
        <v>14</v>
      </c>
      <c r="U1123" t="inlineStr">
        <is>
          <t>2003-03-17</t>
        </is>
      </c>
      <c r="V1123" t="inlineStr">
        <is>
          <t>2003-03-17</t>
        </is>
      </c>
      <c r="W1123" t="inlineStr">
        <is>
          <t>1992-07-14</t>
        </is>
      </c>
      <c r="X1123" t="inlineStr">
        <is>
          <t>1992-07-14</t>
        </is>
      </c>
      <c r="Y1123" t="n">
        <v>250</v>
      </c>
      <c r="Z1123" t="n">
        <v>208</v>
      </c>
      <c r="AA1123" t="n">
        <v>215</v>
      </c>
      <c r="AB1123" t="n">
        <v>2</v>
      </c>
      <c r="AC1123" t="n">
        <v>2</v>
      </c>
      <c r="AD1123" t="n">
        <v>11</v>
      </c>
      <c r="AE1123" t="n">
        <v>11</v>
      </c>
      <c r="AF1123" t="n">
        <v>3</v>
      </c>
      <c r="AG1123" t="n">
        <v>3</v>
      </c>
      <c r="AH1123" t="n">
        <v>2</v>
      </c>
      <c r="AI1123" t="n">
        <v>2</v>
      </c>
      <c r="AJ1123" t="n">
        <v>5</v>
      </c>
      <c r="AK1123" t="n">
        <v>5</v>
      </c>
      <c r="AL1123" t="n">
        <v>1</v>
      </c>
      <c r="AM1123" t="n">
        <v>1</v>
      </c>
      <c r="AN1123" t="n">
        <v>2</v>
      </c>
      <c r="AO1123" t="n">
        <v>2</v>
      </c>
      <c r="AP1123" t="inlineStr">
        <is>
          <t>No</t>
        </is>
      </c>
      <c r="AQ1123" t="inlineStr">
        <is>
          <t>Yes</t>
        </is>
      </c>
      <c r="AR1123">
        <f>HYPERLINK("http://catalog.hathitrust.org/Record/000232810","HathiTrust Record")</f>
        <v/>
      </c>
      <c r="AS1123">
        <f>HYPERLINK("https://creighton-primo.hosted.exlibrisgroup.com/primo-explore/search?tab=default_tab&amp;search_scope=EVERYTHING&amp;vid=01CRU&amp;lang=en_US&amp;offset=0&amp;query=any,contains,991005189989702656","Catalog Record")</f>
        <v/>
      </c>
      <c r="AT1123">
        <f>HYPERLINK("http://www.worldcat.org/oclc/7998105","WorldCat Record")</f>
        <v/>
      </c>
      <c r="AU1123" t="inlineStr">
        <is>
          <t>147018857:eng</t>
        </is>
      </c>
      <c r="AV1123" t="inlineStr">
        <is>
          <t>7998105</t>
        </is>
      </c>
      <c r="AW1123" t="inlineStr">
        <is>
          <t>991005189989702656</t>
        </is>
      </c>
      <c r="AX1123" t="inlineStr">
        <is>
          <t>991005189989702656</t>
        </is>
      </c>
      <c r="AY1123" t="inlineStr">
        <is>
          <t>2258572710002656</t>
        </is>
      </c>
      <c r="AZ1123" t="inlineStr">
        <is>
          <t>BOOK</t>
        </is>
      </c>
      <c r="BB1123" t="inlineStr">
        <is>
          <t>9780803917873</t>
        </is>
      </c>
      <c r="BC1123" t="inlineStr">
        <is>
          <t>32285001182673</t>
        </is>
      </c>
      <c r="BD1123" t="inlineStr">
        <is>
          <t>893719949</t>
        </is>
      </c>
    </row>
    <row r="1124">
      <c r="A1124" t="inlineStr">
        <is>
          <t>No</t>
        </is>
      </c>
      <c r="B1124" t="inlineStr">
        <is>
          <t>HV8138 .M48 2001</t>
        </is>
      </c>
      <c r="C1124" t="inlineStr">
        <is>
          <t>0                      HV 8138000M  48          2001</t>
        </is>
      </c>
      <c r="D1124" t="inlineStr">
        <is>
          <t>Militarizing the American criminal justice system : the changing roles of the Armed Forces and the police / edited by Peter B. Kraska.</t>
        </is>
      </c>
      <c r="F1124" t="inlineStr">
        <is>
          <t>No</t>
        </is>
      </c>
      <c r="G1124" t="inlineStr">
        <is>
          <t>1</t>
        </is>
      </c>
      <c r="H1124" t="inlineStr">
        <is>
          <t>Yes</t>
        </is>
      </c>
      <c r="I1124" t="inlineStr">
        <is>
          <t>No</t>
        </is>
      </c>
      <c r="J1124" t="inlineStr">
        <is>
          <t>0</t>
        </is>
      </c>
      <c r="L1124" t="inlineStr">
        <is>
          <t>Boston : Northeastern University Press, 2001.</t>
        </is>
      </c>
      <c r="M1124" t="inlineStr">
        <is>
          <t>2001</t>
        </is>
      </c>
      <c r="O1124" t="inlineStr">
        <is>
          <t>eng</t>
        </is>
      </c>
      <c r="P1124" t="inlineStr">
        <is>
          <t>mau</t>
        </is>
      </c>
      <c r="R1124" t="inlineStr">
        <is>
          <t xml:space="preserve">HV </t>
        </is>
      </c>
      <c r="S1124" t="n">
        <v>4</v>
      </c>
      <c r="T1124" t="n">
        <v>4</v>
      </c>
      <c r="U1124" t="inlineStr">
        <is>
          <t>2003-09-03</t>
        </is>
      </c>
      <c r="V1124" t="inlineStr">
        <is>
          <t>2003-09-03</t>
        </is>
      </c>
      <c r="W1124" t="inlineStr">
        <is>
          <t>2001-12-05</t>
        </is>
      </c>
      <c r="X1124" t="inlineStr">
        <is>
          <t>2002-02-22</t>
        </is>
      </c>
      <c r="Y1124" t="n">
        <v>564</v>
      </c>
      <c r="Z1124" t="n">
        <v>519</v>
      </c>
      <c r="AA1124" t="n">
        <v>521</v>
      </c>
      <c r="AB1124" t="n">
        <v>5</v>
      </c>
      <c r="AC1124" t="n">
        <v>5</v>
      </c>
      <c r="AD1124" t="n">
        <v>28</v>
      </c>
      <c r="AE1124" t="n">
        <v>28</v>
      </c>
      <c r="AF1124" t="n">
        <v>10</v>
      </c>
      <c r="AG1124" t="n">
        <v>10</v>
      </c>
      <c r="AH1124" t="n">
        <v>5</v>
      </c>
      <c r="AI1124" t="n">
        <v>5</v>
      </c>
      <c r="AJ1124" t="n">
        <v>13</v>
      </c>
      <c r="AK1124" t="n">
        <v>13</v>
      </c>
      <c r="AL1124" t="n">
        <v>3</v>
      </c>
      <c r="AM1124" t="n">
        <v>3</v>
      </c>
      <c r="AN1124" t="n">
        <v>3</v>
      </c>
      <c r="AO1124" t="n">
        <v>3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HYPERLINK("http://catalog.hathitrust.org/Record/004596944","HathiTrust Record")</f>
        <v/>
      </c>
      <c r="AS1124">
        <f>HYPERLINK("https://creighton-primo.hosted.exlibrisgroup.com/primo-explore/search?tab=default_tab&amp;search_scope=EVERYTHING&amp;vid=01CRU&amp;lang=en_US&amp;offset=0&amp;query=any,contains,991001709529702656","Catalog Record")</f>
        <v/>
      </c>
      <c r="AT1124">
        <f>HYPERLINK("http://www.worldcat.org/oclc/46729157","WorldCat Record")</f>
        <v/>
      </c>
      <c r="AU1124" t="inlineStr">
        <is>
          <t>987693949:eng</t>
        </is>
      </c>
      <c r="AV1124" t="inlineStr">
        <is>
          <t>46729157</t>
        </is>
      </c>
      <c r="AW1124" t="inlineStr">
        <is>
          <t>991001709529702656</t>
        </is>
      </c>
      <c r="AX1124" t="inlineStr">
        <is>
          <t>991001709529702656</t>
        </is>
      </c>
      <c r="AY1124" t="inlineStr">
        <is>
          <t>2256356360002656</t>
        </is>
      </c>
      <c r="AZ1124" t="inlineStr">
        <is>
          <t>BOOK</t>
        </is>
      </c>
      <c r="BB1124" t="inlineStr">
        <is>
          <t>9781555534752</t>
        </is>
      </c>
      <c r="BC1124" t="inlineStr">
        <is>
          <t>32285004425939</t>
        </is>
      </c>
      <c r="BD1124" t="inlineStr">
        <is>
          <t>893529147</t>
        </is>
      </c>
    </row>
    <row r="1125">
      <c r="A1125" t="inlineStr">
        <is>
          <t>No</t>
        </is>
      </c>
      <c r="B1125" t="inlineStr">
        <is>
          <t>HV8138 .S55</t>
        </is>
      </c>
      <c r="C1125" t="inlineStr">
        <is>
          <t>0                      HV 8138000S  55</t>
        </is>
      </c>
      <c r="D1125" t="inlineStr">
        <is>
          <t>Organizing the non-system : governmental structuring of criminal justice systems / Daniel L. Skoler.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Skoler, Daniel L.</t>
        </is>
      </c>
      <c r="L1125" t="inlineStr">
        <is>
          <t>Lexington, Mass. : Lexington Books, c1977.</t>
        </is>
      </c>
      <c r="M1125" t="inlineStr">
        <is>
          <t>1977</t>
        </is>
      </c>
      <c r="O1125" t="inlineStr">
        <is>
          <t>eng</t>
        </is>
      </c>
      <c r="P1125" t="inlineStr">
        <is>
          <t>mau</t>
        </is>
      </c>
      <c r="R1125" t="inlineStr">
        <is>
          <t xml:space="preserve">HV </t>
        </is>
      </c>
      <c r="S1125" t="n">
        <v>2</v>
      </c>
      <c r="T1125" t="n">
        <v>2</v>
      </c>
      <c r="U1125" t="inlineStr">
        <is>
          <t>2001-09-28</t>
        </is>
      </c>
      <c r="V1125" t="inlineStr">
        <is>
          <t>2001-09-28</t>
        </is>
      </c>
      <c r="W1125" t="inlineStr">
        <is>
          <t>1997-08-25</t>
        </is>
      </c>
      <c r="X1125" t="inlineStr">
        <is>
          <t>1997-08-25</t>
        </is>
      </c>
      <c r="Y1125" t="n">
        <v>347</v>
      </c>
      <c r="Z1125" t="n">
        <v>317</v>
      </c>
      <c r="AA1125" t="n">
        <v>325</v>
      </c>
      <c r="AB1125" t="n">
        <v>4</v>
      </c>
      <c r="AC1125" t="n">
        <v>4</v>
      </c>
      <c r="AD1125" t="n">
        <v>16</v>
      </c>
      <c r="AE1125" t="n">
        <v>16</v>
      </c>
      <c r="AF1125" t="n">
        <v>0</v>
      </c>
      <c r="AG1125" t="n">
        <v>0</v>
      </c>
      <c r="AH1125" t="n">
        <v>2</v>
      </c>
      <c r="AI1125" t="n">
        <v>2</v>
      </c>
      <c r="AJ1125" t="n">
        <v>4</v>
      </c>
      <c r="AK1125" t="n">
        <v>4</v>
      </c>
      <c r="AL1125" t="n">
        <v>3</v>
      </c>
      <c r="AM1125" t="n">
        <v>3</v>
      </c>
      <c r="AN1125" t="n">
        <v>9</v>
      </c>
      <c r="AO1125" t="n">
        <v>9</v>
      </c>
      <c r="AP1125" t="inlineStr">
        <is>
          <t>No</t>
        </is>
      </c>
      <c r="AQ1125" t="inlineStr">
        <is>
          <t>Yes</t>
        </is>
      </c>
      <c r="AR1125">
        <f>HYPERLINK("http://catalog.hathitrust.org/Record/000699529","HathiTrust Record")</f>
        <v/>
      </c>
      <c r="AS1125">
        <f>HYPERLINK("https://creighton-primo.hosted.exlibrisgroup.com/primo-explore/search?tab=default_tab&amp;search_scope=EVERYTHING&amp;vid=01CRU&amp;lang=en_US&amp;offset=0&amp;query=any,contains,991004315289702656","Catalog Record")</f>
        <v/>
      </c>
      <c r="AT1125">
        <f>HYPERLINK("http://www.worldcat.org/oclc/3003584","WorldCat Record")</f>
        <v/>
      </c>
      <c r="AU1125" t="inlineStr">
        <is>
          <t>6720028:eng</t>
        </is>
      </c>
      <c r="AV1125" t="inlineStr">
        <is>
          <t>3003584</t>
        </is>
      </c>
      <c r="AW1125" t="inlineStr">
        <is>
          <t>991004315289702656</t>
        </is>
      </c>
      <c r="AX1125" t="inlineStr">
        <is>
          <t>991004315289702656</t>
        </is>
      </c>
      <c r="AY1125" t="inlineStr">
        <is>
          <t>2271163930002656</t>
        </is>
      </c>
      <c r="AZ1125" t="inlineStr">
        <is>
          <t>BOOK</t>
        </is>
      </c>
      <c r="BB1125" t="inlineStr">
        <is>
          <t>9780669009415</t>
        </is>
      </c>
      <c r="BC1125" t="inlineStr">
        <is>
          <t>32285003158895</t>
        </is>
      </c>
      <c r="BD1125" t="inlineStr">
        <is>
          <t>893525932</t>
        </is>
      </c>
    </row>
    <row r="1126">
      <c r="A1126" t="inlineStr">
        <is>
          <t>No</t>
        </is>
      </c>
      <c r="B1126" t="inlineStr">
        <is>
          <t>HV8138 .S657 1985</t>
        </is>
      </c>
      <c r="C1126" t="inlineStr">
        <is>
          <t>0                      HV 8138000S  657         1985</t>
        </is>
      </c>
      <c r="D1126" t="inlineStr">
        <is>
          <t>Ideological warfare : the FBI's path toward power / by Frank M. Sorrentino ; foreword by Louis W. Koenig.</t>
        </is>
      </c>
      <c r="F1126" t="inlineStr">
        <is>
          <t>No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K1126" t="inlineStr">
        <is>
          <t>Sorrentino, Frank M., 1949-</t>
        </is>
      </c>
      <c r="L1126" t="inlineStr">
        <is>
          <t>Port Washington, N.Y. : Associated Faculty Press, 1985.</t>
        </is>
      </c>
      <c r="M1126" t="inlineStr">
        <is>
          <t>1985</t>
        </is>
      </c>
      <c r="O1126" t="inlineStr">
        <is>
          <t>eng</t>
        </is>
      </c>
      <c r="P1126" t="inlineStr">
        <is>
          <t>nyu</t>
        </is>
      </c>
      <c r="Q1126" t="inlineStr">
        <is>
          <t>National university publications</t>
        </is>
      </c>
      <c r="R1126" t="inlineStr">
        <is>
          <t xml:space="preserve">HV </t>
        </is>
      </c>
      <c r="S1126" t="n">
        <v>5</v>
      </c>
      <c r="T1126" t="n">
        <v>5</v>
      </c>
      <c r="U1126" t="inlineStr">
        <is>
          <t>1996-12-01</t>
        </is>
      </c>
      <c r="V1126" t="inlineStr">
        <is>
          <t>1996-12-01</t>
        </is>
      </c>
      <c r="W1126" t="inlineStr">
        <is>
          <t>1990-04-26</t>
        </is>
      </c>
      <c r="X1126" t="inlineStr">
        <is>
          <t>1990-04-26</t>
        </is>
      </c>
      <c r="Y1126" t="n">
        <v>181</v>
      </c>
      <c r="Z1126" t="n">
        <v>158</v>
      </c>
      <c r="AA1126" t="n">
        <v>160</v>
      </c>
      <c r="AB1126" t="n">
        <v>2</v>
      </c>
      <c r="AC1126" t="n">
        <v>2</v>
      </c>
      <c r="AD1126" t="n">
        <v>4</v>
      </c>
      <c r="AE1126" t="n">
        <v>4</v>
      </c>
      <c r="AF1126" t="n">
        <v>2</v>
      </c>
      <c r="AG1126" t="n">
        <v>2</v>
      </c>
      <c r="AH1126" t="n">
        <v>1</v>
      </c>
      <c r="AI1126" t="n">
        <v>1</v>
      </c>
      <c r="AJ1126" t="n">
        <v>0</v>
      </c>
      <c r="AK1126" t="n">
        <v>0</v>
      </c>
      <c r="AL1126" t="n">
        <v>1</v>
      </c>
      <c r="AM1126" t="n">
        <v>1</v>
      </c>
      <c r="AN1126" t="n">
        <v>1</v>
      </c>
      <c r="AO1126" t="n">
        <v>1</v>
      </c>
      <c r="AP1126" t="inlineStr">
        <is>
          <t>No</t>
        </is>
      </c>
      <c r="AQ1126" t="inlineStr">
        <is>
          <t>Yes</t>
        </is>
      </c>
      <c r="AR1126">
        <f>HYPERLINK("http://catalog.hathitrust.org/Record/000384070","HathiTrust Record")</f>
        <v/>
      </c>
      <c r="AS1126">
        <f>HYPERLINK("https://creighton-primo.hosted.exlibrisgroup.com/primo-explore/search?tab=default_tab&amp;search_scope=EVERYTHING&amp;vid=01CRU&amp;lang=en_US&amp;offset=0&amp;query=any,contains,991000343439702656","Catalog Record")</f>
        <v/>
      </c>
      <c r="AT1126">
        <f>HYPERLINK("http://www.worldcat.org/oclc/10275845","WorldCat Record")</f>
        <v/>
      </c>
      <c r="AU1126" t="inlineStr">
        <is>
          <t>3374131:eng</t>
        </is>
      </c>
      <c r="AV1126" t="inlineStr">
        <is>
          <t>10275845</t>
        </is>
      </c>
      <c r="AW1126" t="inlineStr">
        <is>
          <t>991000343439702656</t>
        </is>
      </c>
      <c r="AX1126" t="inlineStr">
        <is>
          <t>991000343439702656</t>
        </is>
      </c>
      <c r="AY1126" t="inlineStr">
        <is>
          <t>2270829100002656</t>
        </is>
      </c>
      <c r="AZ1126" t="inlineStr">
        <is>
          <t>BOOK</t>
        </is>
      </c>
      <c r="BB1126" t="inlineStr">
        <is>
          <t>9780804693455</t>
        </is>
      </c>
      <c r="BC1126" t="inlineStr">
        <is>
          <t>32285000126507</t>
        </is>
      </c>
      <c r="BD1126" t="inlineStr">
        <is>
          <t>893695758</t>
        </is>
      </c>
    </row>
    <row r="1127">
      <c r="A1127" t="inlineStr">
        <is>
          <t>No</t>
        </is>
      </c>
      <c r="B1127" t="inlineStr">
        <is>
          <t>HV8138 .S9 1971</t>
        </is>
      </c>
      <c r="C1127" t="inlineStr">
        <is>
          <t>0                      HV 8138000S  9           1971</t>
        </is>
      </c>
      <c r="D1127" t="inlineStr">
        <is>
          <t>Introduction to police science / [by] John L. Sullivan.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K1127" t="inlineStr">
        <is>
          <t>Sullivan, John L.</t>
        </is>
      </c>
      <c r="L1127" t="inlineStr">
        <is>
          <t>New York : McGraw-Hill, [1971]</t>
        </is>
      </c>
      <c r="M1127" t="inlineStr">
        <is>
          <t>1971</t>
        </is>
      </c>
      <c r="N1127" t="inlineStr">
        <is>
          <t>2d ed.</t>
        </is>
      </c>
      <c r="O1127" t="inlineStr">
        <is>
          <t>eng</t>
        </is>
      </c>
      <c r="P1127" t="inlineStr">
        <is>
          <t>nyu</t>
        </is>
      </c>
      <c r="R1127" t="inlineStr">
        <is>
          <t xml:space="preserve">HV </t>
        </is>
      </c>
      <c r="S1127" t="n">
        <v>2</v>
      </c>
      <c r="T1127" t="n">
        <v>2</v>
      </c>
      <c r="U1127" t="inlineStr">
        <is>
          <t>1994-04-26</t>
        </is>
      </c>
      <c r="V1127" t="inlineStr">
        <is>
          <t>1994-04-26</t>
        </is>
      </c>
      <c r="W1127" t="inlineStr">
        <is>
          <t>1993-12-09</t>
        </is>
      </c>
      <c r="X1127" t="inlineStr">
        <is>
          <t>1993-12-09</t>
        </is>
      </c>
      <c r="Y1127" t="n">
        <v>277</v>
      </c>
      <c r="Z1127" t="n">
        <v>240</v>
      </c>
      <c r="AA1127" t="n">
        <v>413</v>
      </c>
      <c r="AB1127" t="n">
        <v>3</v>
      </c>
      <c r="AC1127" t="n">
        <v>5</v>
      </c>
      <c r="AD1127" t="n">
        <v>9</v>
      </c>
      <c r="AE1127" t="n">
        <v>14</v>
      </c>
      <c r="AF1127" t="n">
        <v>4</v>
      </c>
      <c r="AG1127" t="n">
        <v>6</v>
      </c>
      <c r="AH1127" t="n">
        <v>2</v>
      </c>
      <c r="AI1127" t="n">
        <v>3</v>
      </c>
      <c r="AJ1127" t="n">
        <v>5</v>
      </c>
      <c r="AK1127" t="n">
        <v>6</v>
      </c>
      <c r="AL1127" t="n">
        <v>2</v>
      </c>
      <c r="AM1127" t="n">
        <v>4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Yes</t>
        </is>
      </c>
      <c r="AR1127">
        <f>HYPERLINK("http://catalog.hathitrust.org/Record/004402635","HathiTrust Record")</f>
        <v/>
      </c>
      <c r="AS1127">
        <f>HYPERLINK("https://creighton-primo.hosted.exlibrisgroup.com/primo-explore/search?tab=default_tab&amp;search_scope=EVERYTHING&amp;vid=01CRU&amp;lang=en_US&amp;offset=0&amp;query=any,contains,991000796149702656","Catalog Record")</f>
        <v/>
      </c>
      <c r="AT1127">
        <f>HYPERLINK("http://www.worldcat.org/oclc/137121","WorldCat Record")</f>
        <v/>
      </c>
      <c r="AU1127" t="inlineStr">
        <is>
          <t>406578:eng</t>
        </is>
      </c>
      <c r="AV1127" t="inlineStr">
        <is>
          <t>137121</t>
        </is>
      </c>
      <c r="AW1127" t="inlineStr">
        <is>
          <t>991000796149702656</t>
        </is>
      </c>
      <c r="AX1127" t="inlineStr">
        <is>
          <t>991000796149702656</t>
        </is>
      </c>
      <c r="AY1127" t="inlineStr">
        <is>
          <t>2262141950002656</t>
        </is>
      </c>
      <c r="AZ1127" t="inlineStr">
        <is>
          <t>BOOK</t>
        </is>
      </c>
      <c r="BB1127" t="inlineStr">
        <is>
          <t>9780070624092</t>
        </is>
      </c>
      <c r="BC1127" t="inlineStr">
        <is>
          <t>32285001807329</t>
        </is>
      </c>
      <c r="BD1127" t="inlineStr">
        <is>
          <t>893891029</t>
        </is>
      </c>
    </row>
    <row r="1128">
      <c r="A1128" t="inlineStr">
        <is>
          <t>No</t>
        </is>
      </c>
      <c r="B1128" t="inlineStr">
        <is>
          <t>HV8138 .T849 1993</t>
        </is>
      </c>
      <c r="C1128" t="inlineStr">
        <is>
          <t>0                      HV 8138000T  849         1993</t>
        </is>
      </c>
      <c r="D1128" t="inlineStr">
        <is>
          <t>Hoover's FBI / William W. Turner.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K1128" t="inlineStr">
        <is>
          <t>Turner, William W.</t>
        </is>
      </c>
      <c r="L1128" t="inlineStr">
        <is>
          <t>New York : Thunder's Mouth Press ; Emeryville, CA : Distributed by Publisher's Group West, c1993.</t>
        </is>
      </c>
      <c r="M1128" t="inlineStr">
        <is>
          <t>1993</t>
        </is>
      </c>
      <c r="N1128" t="inlineStr">
        <is>
          <t>1st ed.</t>
        </is>
      </c>
      <c r="O1128" t="inlineStr">
        <is>
          <t>eng</t>
        </is>
      </c>
      <c r="P1128" t="inlineStr">
        <is>
          <t>nyu</t>
        </is>
      </c>
      <c r="R1128" t="inlineStr">
        <is>
          <t xml:space="preserve">HV </t>
        </is>
      </c>
      <c r="S1128" t="n">
        <v>9</v>
      </c>
      <c r="T1128" t="n">
        <v>9</v>
      </c>
      <c r="U1128" t="inlineStr">
        <is>
          <t>1999-02-23</t>
        </is>
      </c>
      <c r="V1128" t="inlineStr">
        <is>
          <t>1999-02-23</t>
        </is>
      </c>
      <c r="W1128" t="inlineStr">
        <is>
          <t>1993-10-19</t>
        </is>
      </c>
      <c r="X1128" t="inlineStr">
        <is>
          <t>1993-10-19</t>
        </is>
      </c>
      <c r="Y1128" t="n">
        <v>194</v>
      </c>
      <c r="Z1128" t="n">
        <v>180</v>
      </c>
      <c r="AA1128" t="n">
        <v>792</v>
      </c>
      <c r="AB1128" t="n">
        <v>3</v>
      </c>
      <c r="AC1128" t="n">
        <v>5</v>
      </c>
      <c r="AD1128" t="n">
        <v>10</v>
      </c>
      <c r="AE1128" t="n">
        <v>29</v>
      </c>
      <c r="AF1128" t="n">
        <v>3</v>
      </c>
      <c r="AG1128" t="n">
        <v>10</v>
      </c>
      <c r="AH1128" t="n">
        <v>3</v>
      </c>
      <c r="AI1128" t="n">
        <v>6</v>
      </c>
      <c r="AJ1128" t="n">
        <v>6</v>
      </c>
      <c r="AK1128" t="n">
        <v>13</v>
      </c>
      <c r="AL1128" t="n">
        <v>2</v>
      </c>
      <c r="AM1128" t="n">
        <v>3</v>
      </c>
      <c r="AN1128" t="n">
        <v>0</v>
      </c>
      <c r="AO1128" t="n">
        <v>3</v>
      </c>
      <c r="AP1128" t="inlineStr">
        <is>
          <t>No</t>
        </is>
      </c>
      <c r="AQ1128" t="inlineStr">
        <is>
          <t>No</t>
        </is>
      </c>
      <c r="AS1128">
        <f>HYPERLINK("https://creighton-primo.hosted.exlibrisgroup.com/primo-explore/search?tab=default_tab&amp;search_scope=EVERYTHING&amp;vid=01CRU&amp;lang=en_US&amp;offset=0&amp;query=any,contains,991002118219702656","Catalog Record")</f>
        <v/>
      </c>
      <c r="AT1128">
        <f>HYPERLINK("http://www.worldcat.org/oclc/27146385","WorldCat Record")</f>
        <v/>
      </c>
      <c r="AU1128" t="inlineStr">
        <is>
          <t>2568160:eng</t>
        </is>
      </c>
      <c r="AV1128" t="inlineStr">
        <is>
          <t>27146385</t>
        </is>
      </c>
      <c r="AW1128" t="inlineStr">
        <is>
          <t>991002118219702656</t>
        </is>
      </c>
      <c r="AX1128" t="inlineStr">
        <is>
          <t>991002118219702656</t>
        </is>
      </c>
      <c r="AY1128" t="inlineStr">
        <is>
          <t>2255474170002656</t>
        </is>
      </c>
      <c r="AZ1128" t="inlineStr">
        <is>
          <t>BOOK</t>
        </is>
      </c>
      <c r="BB1128" t="inlineStr">
        <is>
          <t>9781560250630</t>
        </is>
      </c>
      <c r="BC1128" t="inlineStr">
        <is>
          <t>32285001786960</t>
        </is>
      </c>
      <c r="BD1128" t="inlineStr">
        <is>
          <t>893779446</t>
        </is>
      </c>
    </row>
    <row r="1129">
      <c r="A1129" t="inlineStr">
        <is>
          <t>No</t>
        </is>
      </c>
      <c r="B1129" t="inlineStr">
        <is>
          <t>HV8138 .U53</t>
        </is>
      </c>
      <c r="C1129" t="inlineStr">
        <is>
          <t>0                      HV 8138000U  53</t>
        </is>
      </c>
      <c r="D1129" t="inlineStr">
        <is>
          <t>FBI / Sanford J. Ungar.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K1129" t="inlineStr">
        <is>
          <t>Ungar, Sanford J.</t>
        </is>
      </c>
      <c r="L1129" t="inlineStr">
        <is>
          <t>Boston : Little, Brown, c1976.</t>
        </is>
      </c>
      <c r="M1129" t="inlineStr">
        <is>
          <t>1976</t>
        </is>
      </c>
      <c r="N1129" t="inlineStr">
        <is>
          <t>1st ed.</t>
        </is>
      </c>
      <c r="O1129" t="inlineStr">
        <is>
          <t>eng</t>
        </is>
      </c>
      <c r="P1129" t="inlineStr">
        <is>
          <t>mau</t>
        </is>
      </c>
      <c r="R1129" t="inlineStr">
        <is>
          <t xml:space="preserve">HV </t>
        </is>
      </c>
      <c r="S1129" t="n">
        <v>18</v>
      </c>
      <c r="T1129" t="n">
        <v>18</v>
      </c>
      <c r="U1129" t="inlineStr">
        <is>
          <t>2003-03-21</t>
        </is>
      </c>
      <c r="V1129" t="inlineStr">
        <is>
          <t>2003-03-21</t>
        </is>
      </c>
      <c r="W1129" t="inlineStr">
        <is>
          <t>1990-02-12</t>
        </is>
      </c>
      <c r="X1129" t="inlineStr">
        <is>
          <t>1990-02-12</t>
        </is>
      </c>
      <c r="Y1129" t="n">
        <v>1231</v>
      </c>
      <c r="Z1129" t="n">
        <v>1163</v>
      </c>
      <c r="AA1129" t="n">
        <v>1178</v>
      </c>
      <c r="AB1129" t="n">
        <v>13</v>
      </c>
      <c r="AC1129" t="n">
        <v>13</v>
      </c>
      <c r="AD1129" t="n">
        <v>41</v>
      </c>
      <c r="AE1129" t="n">
        <v>41</v>
      </c>
      <c r="AF1129" t="n">
        <v>12</v>
      </c>
      <c r="AG1129" t="n">
        <v>12</v>
      </c>
      <c r="AH1129" t="n">
        <v>6</v>
      </c>
      <c r="AI1129" t="n">
        <v>6</v>
      </c>
      <c r="AJ1129" t="n">
        <v>16</v>
      </c>
      <c r="AK1129" t="n">
        <v>16</v>
      </c>
      <c r="AL1129" t="n">
        <v>8</v>
      </c>
      <c r="AM1129" t="n">
        <v>8</v>
      </c>
      <c r="AN1129" t="n">
        <v>5</v>
      </c>
      <c r="AO1129" t="n">
        <v>5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HYPERLINK("https://creighton-primo.hosted.exlibrisgroup.com/primo-explore/search?tab=default_tab&amp;search_scope=EVERYTHING&amp;vid=01CRU&amp;lang=en_US&amp;offset=0&amp;query=any,contains,991003946349702656","Catalog Record")</f>
        <v/>
      </c>
      <c r="AT1129">
        <f>HYPERLINK("http://www.worldcat.org/oclc/1945521","WorldCat Record")</f>
        <v/>
      </c>
      <c r="AU1129" t="inlineStr">
        <is>
          <t>3246154:eng</t>
        </is>
      </c>
      <c r="AV1129" t="inlineStr">
        <is>
          <t>1945521</t>
        </is>
      </c>
      <c r="AW1129" t="inlineStr">
        <is>
          <t>991003946349702656</t>
        </is>
      </c>
      <c r="AX1129" t="inlineStr">
        <is>
          <t>991003946349702656</t>
        </is>
      </c>
      <c r="AY1129" t="inlineStr">
        <is>
          <t>2264776200002656</t>
        </is>
      </c>
      <c r="AZ1129" t="inlineStr">
        <is>
          <t>BOOK</t>
        </is>
      </c>
      <c r="BB1129" t="inlineStr">
        <is>
          <t>9780316887441</t>
        </is>
      </c>
      <c r="BC1129" t="inlineStr">
        <is>
          <t>32285000041813</t>
        </is>
      </c>
      <c r="BD1129" t="inlineStr">
        <is>
          <t>893900601</t>
        </is>
      </c>
    </row>
    <row r="1130">
      <c r="A1130" t="inlineStr">
        <is>
          <t>No</t>
        </is>
      </c>
      <c r="B1130" t="inlineStr">
        <is>
          <t>HV8138 .W34</t>
        </is>
      </c>
      <c r="C1130" t="inlineStr">
        <is>
          <t>0                      HV 8138000W  34</t>
        </is>
      </c>
      <c r="D1130" t="inlineStr">
        <is>
          <t>A critical history of police reform : the emergence of professionalism / Samuel Walker.</t>
        </is>
      </c>
      <c r="F1130" t="inlineStr">
        <is>
          <t>No</t>
        </is>
      </c>
      <c r="G1130" t="inlineStr">
        <is>
          <t>1</t>
        </is>
      </c>
      <c r="H1130" t="inlineStr">
        <is>
          <t>Yes</t>
        </is>
      </c>
      <c r="I1130" t="inlineStr">
        <is>
          <t>No</t>
        </is>
      </c>
      <c r="J1130" t="inlineStr">
        <is>
          <t>0</t>
        </is>
      </c>
      <c r="K1130" t="inlineStr">
        <is>
          <t>Walker, Samuel, 1942-</t>
        </is>
      </c>
      <c r="L1130" t="inlineStr">
        <is>
          <t>Lexington, Mass. : Lexington Books, c1977.</t>
        </is>
      </c>
      <c r="M1130" t="inlineStr">
        <is>
          <t>1977</t>
        </is>
      </c>
      <c r="O1130" t="inlineStr">
        <is>
          <t>eng</t>
        </is>
      </c>
      <c r="P1130" t="inlineStr">
        <is>
          <t>mau</t>
        </is>
      </c>
      <c r="R1130" t="inlineStr">
        <is>
          <t xml:space="preserve">HV </t>
        </is>
      </c>
      <c r="S1130" t="n">
        <v>5</v>
      </c>
      <c r="T1130" t="n">
        <v>5</v>
      </c>
      <c r="U1130" t="inlineStr">
        <is>
          <t>2007-04-11</t>
        </is>
      </c>
      <c r="V1130" t="inlineStr">
        <is>
          <t>2007-04-11</t>
        </is>
      </c>
      <c r="W1130" t="inlineStr">
        <is>
          <t>1997-08-25</t>
        </is>
      </c>
      <c r="X1130" t="inlineStr">
        <is>
          <t>1997-11-17</t>
        </is>
      </c>
      <c r="Y1130" t="n">
        <v>537</v>
      </c>
      <c r="Z1130" t="n">
        <v>482</v>
      </c>
      <c r="AA1130" t="n">
        <v>488</v>
      </c>
      <c r="AB1130" t="n">
        <v>5</v>
      </c>
      <c r="AC1130" t="n">
        <v>5</v>
      </c>
      <c r="AD1130" t="n">
        <v>17</v>
      </c>
      <c r="AE1130" t="n">
        <v>17</v>
      </c>
      <c r="AF1130" t="n">
        <v>7</v>
      </c>
      <c r="AG1130" t="n">
        <v>7</v>
      </c>
      <c r="AH1130" t="n">
        <v>4</v>
      </c>
      <c r="AI1130" t="n">
        <v>4</v>
      </c>
      <c r="AJ1130" t="n">
        <v>6</v>
      </c>
      <c r="AK1130" t="n">
        <v>6</v>
      </c>
      <c r="AL1130" t="n">
        <v>3</v>
      </c>
      <c r="AM1130" t="n">
        <v>3</v>
      </c>
      <c r="AN1130" t="n">
        <v>1</v>
      </c>
      <c r="AO1130" t="n">
        <v>1</v>
      </c>
      <c r="AP1130" t="inlineStr">
        <is>
          <t>No</t>
        </is>
      </c>
      <c r="AQ1130" t="inlineStr">
        <is>
          <t>Yes</t>
        </is>
      </c>
      <c r="AR1130">
        <f>HYPERLINK("http://catalog.hathitrust.org/Record/000250529","HathiTrust Record")</f>
        <v/>
      </c>
      <c r="AS1130">
        <f>HYPERLINK("https://creighton-primo.hosted.exlibrisgroup.com/primo-explore/search?tab=default_tab&amp;search_scope=EVERYTHING&amp;vid=01CRU&amp;lang=en_US&amp;offset=0&amp;query=any,contains,991001777899702656","Catalog Record")</f>
        <v/>
      </c>
      <c r="AT1130">
        <f>HYPERLINK("http://www.worldcat.org/oclc/2985007","WorldCat Record")</f>
        <v/>
      </c>
      <c r="AU1130" t="inlineStr">
        <is>
          <t>7051764:eng</t>
        </is>
      </c>
      <c r="AV1130" t="inlineStr">
        <is>
          <t>2985007</t>
        </is>
      </c>
      <c r="AW1130" t="inlineStr">
        <is>
          <t>991001777899702656</t>
        </is>
      </c>
      <c r="AX1130" t="inlineStr">
        <is>
          <t>991001777899702656</t>
        </is>
      </c>
      <c r="AY1130" t="inlineStr">
        <is>
          <t>2262085730002656</t>
        </is>
      </c>
      <c r="AZ1130" t="inlineStr">
        <is>
          <t>BOOK</t>
        </is>
      </c>
      <c r="BB1130" t="inlineStr">
        <is>
          <t>9780669012927</t>
        </is>
      </c>
      <c r="BC1130" t="inlineStr">
        <is>
          <t>32285003158929</t>
        </is>
      </c>
      <c r="BD1130" t="inlineStr">
        <is>
          <t>893328368</t>
        </is>
      </c>
    </row>
    <row r="1131">
      <c r="A1131" t="inlineStr">
        <is>
          <t>No</t>
        </is>
      </c>
      <c r="B1131" t="inlineStr">
        <is>
          <t>HV8138 .W627 2000</t>
        </is>
      </c>
      <c r="C1131" t="inlineStr">
        <is>
          <t>0                      HV 8138000W  627         2000</t>
        </is>
      </c>
      <c r="D1131" t="inlineStr">
        <is>
          <t>Cop knowledge : police power and cultural narrative in twentieth-century America / Christopher P. Wilson.</t>
        </is>
      </c>
      <c r="F1131" t="inlineStr">
        <is>
          <t>No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K1131" t="inlineStr">
        <is>
          <t>Wilson, Christopher P. (Christopher Pierce), 1952-</t>
        </is>
      </c>
      <c r="L1131" t="inlineStr">
        <is>
          <t>Chicago : University of Chicago Press, 2000.</t>
        </is>
      </c>
      <c r="M1131" t="inlineStr">
        <is>
          <t>2000</t>
        </is>
      </c>
      <c r="O1131" t="inlineStr">
        <is>
          <t>eng</t>
        </is>
      </c>
      <c r="P1131" t="inlineStr">
        <is>
          <t>ilu</t>
        </is>
      </c>
      <c r="R1131" t="inlineStr">
        <is>
          <t xml:space="preserve">HV </t>
        </is>
      </c>
      <c r="S1131" t="n">
        <v>6</v>
      </c>
      <c r="T1131" t="n">
        <v>6</v>
      </c>
      <c r="U1131" t="inlineStr">
        <is>
          <t>2007-04-11</t>
        </is>
      </c>
      <c r="V1131" t="inlineStr">
        <is>
          <t>2007-04-11</t>
        </is>
      </c>
      <c r="W1131" t="inlineStr">
        <is>
          <t>2001-02-26</t>
        </is>
      </c>
      <c r="X1131" t="inlineStr">
        <is>
          <t>2001-02-26</t>
        </is>
      </c>
      <c r="Y1131" t="n">
        <v>492</v>
      </c>
      <c r="Z1131" t="n">
        <v>423</v>
      </c>
      <c r="AA1131" t="n">
        <v>424</v>
      </c>
      <c r="AB1131" t="n">
        <v>4</v>
      </c>
      <c r="AC1131" t="n">
        <v>4</v>
      </c>
      <c r="AD1131" t="n">
        <v>30</v>
      </c>
      <c r="AE1131" t="n">
        <v>30</v>
      </c>
      <c r="AF1131" t="n">
        <v>10</v>
      </c>
      <c r="AG1131" t="n">
        <v>10</v>
      </c>
      <c r="AH1131" t="n">
        <v>6</v>
      </c>
      <c r="AI1131" t="n">
        <v>6</v>
      </c>
      <c r="AJ1131" t="n">
        <v>13</v>
      </c>
      <c r="AK1131" t="n">
        <v>13</v>
      </c>
      <c r="AL1131" t="n">
        <v>3</v>
      </c>
      <c r="AM1131" t="n">
        <v>3</v>
      </c>
      <c r="AN1131" t="n">
        <v>4</v>
      </c>
      <c r="AO1131" t="n">
        <v>4</v>
      </c>
      <c r="AP1131" t="inlineStr">
        <is>
          <t>No</t>
        </is>
      </c>
      <c r="AQ1131" t="inlineStr">
        <is>
          <t>Yes</t>
        </is>
      </c>
      <c r="AR1131">
        <f>HYPERLINK("http://catalog.hathitrust.org/Record/004092498","HathiTrust Record")</f>
        <v/>
      </c>
      <c r="AS1131">
        <f>HYPERLINK("https://creighton-primo.hosted.exlibrisgroup.com/primo-explore/search?tab=default_tab&amp;search_scope=EVERYTHING&amp;vid=01CRU&amp;lang=en_US&amp;offset=0&amp;query=any,contains,991003472289702656","Catalog Record")</f>
        <v/>
      </c>
      <c r="AT1131">
        <f>HYPERLINK("http://www.worldcat.org/oclc/42580137","WorldCat Record")</f>
        <v/>
      </c>
      <c r="AU1131" t="inlineStr">
        <is>
          <t>140955343:eng</t>
        </is>
      </c>
      <c r="AV1131" t="inlineStr">
        <is>
          <t>42580137</t>
        </is>
      </c>
      <c r="AW1131" t="inlineStr">
        <is>
          <t>991003472289702656</t>
        </is>
      </c>
      <c r="AX1131" t="inlineStr">
        <is>
          <t>991003472289702656</t>
        </is>
      </c>
      <c r="AY1131" t="inlineStr">
        <is>
          <t>2262793690002656</t>
        </is>
      </c>
      <c r="AZ1131" t="inlineStr">
        <is>
          <t>BOOK</t>
        </is>
      </c>
      <c r="BB1131" t="inlineStr">
        <is>
          <t>9780226901329</t>
        </is>
      </c>
      <c r="BC1131" t="inlineStr">
        <is>
          <t>32285004297270</t>
        </is>
      </c>
      <c r="BD1131" t="inlineStr">
        <is>
          <t>893234200</t>
        </is>
      </c>
    </row>
    <row r="1132">
      <c r="A1132" t="inlineStr">
        <is>
          <t>No</t>
        </is>
      </c>
      <c r="B1132" t="inlineStr">
        <is>
          <t>HV8141 .A27 1983</t>
        </is>
      </c>
      <c r="C1132" t="inlineStr">
        <is>
          <t>0                      HV 8141000A  27          1983</t>
        </is>
      </c>
      <c r="D1132" t="inlineStr">
        <is>
          <t>ABSCAM ethics : moral issues and deception in law enforcement / edited by Gerald M. Caplan (The Police Foundation).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L1132" t="inlineStr">
        <is>
          <t>[Cambridge, Mass.] : Ballinger Pub. Co., c1983.</t>
        </is>
      </c>
      <c r="M1132" t="inlineStr">
        <is>
          <t>1983</t>
        </is>
      </c>
      <c r="O1132" t="inlineStr">
        <is>
          <t>eng</t>
        </is>
      </c>
      <c r="P1132" t="inlineStr">
        <is>
          <t>mau</t>
        </is>
      </c>
      <c r="R1132" t="inlineStr">
        <is>
          <t xml:space="preserve">HV </t>
        </is>
      </c>
      <c r="S1132" t="n">
        <v>6</v>
      </c>
      <c r="T1132" t="n">
        <v>6</v>
      </c>
      <c r="U1132" t="inlineStr">
        <is>
          <t>1997-12-18</t>
        </is>
      </c>
      <c r="V1132" t="inlineStr">
        <is>
          <t>1997-12-18</t>
        </is>
      </c>
      <c r="W1132" t="inlineStr">
        <is>
          <t>1992-07-14</t>
        </is>
      </c>
      <c r="X1132" t="inlineStr">
        <is>
          <t>1992-07-14</t>
        </is>
      </c>
      <c r="Y1132" t="n">
        <v>448</v>
      </c>
      <c r="Z1132" t="n">
        <v>419</v>
      </c>
      <c r="AA1132" t="n">
        <v>426</v>
      </c>
      <c r="AB1132" t="n">
        <v>4</v>
      </c>
      <c r="AC1132" t="n">
        <v>4</v>
      </c>
      <c r="AD1132" t="n">
        <v>31</v>
      </c>
      <c r="AE1132" t="n">
        <v>31</v>
      </c>
      <c r="AF1132" t="n">
        <v>7</v>
      </c>
      <c r="AG1132" t="n">
        <v>7</v>
      </c>
      <c r="AH1132" t="n">
        <v>5</v>
      </c>
      <c r="AI1132" t="n">
        <v>5</v>
      </c>
      <c r="AJ1132" t="n">
        <v>8</v>
      </c>
      <c r="AK1132" t="n">
        <v>8</v>
      </c>
      <c r="AL1132" t="n">
        <v>2</v>
      </c>
      <c r="AM1132" t="n">
        <v>2</v>
      </c>
      <c r="AN1132" t="n">
        <v>13</v>
      </c>
      <c r="AO1132" t="n">
        <v>13</v>
      </c>
      <c r="AP1132" t="inlineStr">
        <is>
          <t>No</t>
        </is>
      </c>
      <c r="AQ1132" t="inlineStr">
        <is>
          <t>Yes</t>
        </is>
      </c>
      <c r="AR1132">
        <f>HYPERLINK("http://catalog.hathitrust.org/Record/000194417","HathiTrust Record")</f>
        <v/>
      </c>
      <c r="AS1132">
        <f>HYPERLINK("https://creighton-primo.hosted.exlibrisgroup.com/primo-explore/search?tab=default_tab&amp;search_scope=EVERYTHING&amp;vid=01CRU&amp;lang=en_US&amp;offset=0&amp;query=any,contains,991000176719702656","Catalog Record")</f>
        <v/>
      </c>
      <c r="AT1132">
        <f>HYPERLINK("http://www.worldcat.org/oclc/9352555","WorldCat Record")</f>
        <v/>
      </c>
      <c r="AU1132" t="inlineStr">
        <is>
          <t>889417277:eng</t>
        </is>
      </c>
      <c r="AV1132" t="inlineStr">
        <is>
          <t>9352555</t>
        </is>
      </c>
      <c r="AW1132" t="inlineStr">
        <is>
          <t>991000176719702656</t>
        </is>
      </c>
      <c r="AX1132" t="inlineStr">
        <is>
          <t>991000176719702656</t>
        </is>
      </c>
      <c r="AY1132" t="inlineStr">
        <is>
          <t>2263455040002656</t>
        </is>
      </c>
      <c r="AZ1132" t="inlineStr">
        <is>
          <t>BOOK</t>
        </is>
      </c>
      <c r="BB1132" t="inlineStr">
        <is>
          <t>9780884106340</t>
        </is>
      </c>
      <c r="BC1132" t="inlineStr">
        <is>
          <t>32285001182707</t>
        </is>
      </c>
      <c r="BD1132" t="inlineStr">
        <is>
          <t>893230936</t>
        </is>
      </c>
    </row>
    <row r="1133">
      <c r="A1133" t="inlineStr">
        <is>
          <t>No</t>
        </is>
      </c>
      <c r="B1133" t="inlineStr">
        <is>
          <t>HV8141 .B6 1976</t>
        </is>
      </c>
      <c r="C1133" t="inlineStr">
        <is>
          <t>0                      HV 8141000B  6           1976</t>
        </is>
      </c>
      <c r="D1133" t="inlineStr">
        <is>
          <t>Cointelpro : the FBI's secret war on political freedom / by Nelson Blackstock ; with an introd. by Noam Chomsky.</t>
        </is>
      </c>
      <c r="F1133" t="inlineStr">
        <is>
          <t>No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K1133" t="inlineStr">
        <is>
          <t>Blackstock, Nelson, 1944-</t>
        </is>
      </c>
      <c r="L1133" t="inlineStr">
        <is>
          <t>New York : Vintage Books, 1976, c1975.</t>
        </is>
      </c>
      <c r="M1133" t="inlineStr">
        <is>
          <t>1976</t>
        </is>
      </c>
      <c r="O1133" t="inlineStr">
        <is>
          <t>eng</t>
        </is>
      </c>
      <c r="P1133" t="inlineStr">
        <is>
          <t>nyu</t>
        </is>
      </c>
      <c r="R1133" t="inlineStr">
        <is>
          <t xml:space="preserve">HV </t>
        </is>
      </c>
      <c r="S1133" t="n">
        <v>8</v>
      </c>
      <c r="T1133" t="n">
        <v>8</v>
      </c>
      <c r="U1133" t="inlineStr">
        <is>
          <t>1998-12-16</t>
        </is>
      </c>
      <c r="V1133" t="inlineStr">
        <is>
          <t>1998-12-16</t>
        </is>
      </c>
      <c r="W1133" t="inlineStr">
        <is>
          <t>1991-01-10</t>
        </is>
      </c>
      <c r="X1133" t="inlineStr">
        <is>
          <t>1991-01-10</t>
        </is>
      </c>
      <c r="Y1133" t="n">
        <v>490</v>
      </c>
      <c r="Z1133" t="n">
        <v>441</v>
      </c>
      <c r="AA1133" t="n">
        <v>761</v>
      </c>
      <c r="AB1133" t="n">
        <v>5</v>
      </c>
      <c r="AC1133" t="n">
        <v>6</v>
      </c>
      <c r="AD1133" t="n">
        <v>28</v>
      </c>
      <c r="AE1133" t="n">
        <v>37</v>
      </c>
      <c r="AF1133" t="n">
        <v>9</v>
      </c>
      <c r="AG1133" t="n">
        <v>13</v>
      </c>
      <c r="AH1133" t="n">
        <v>7</v>
      </c>
      <c r="AI1133" t="n">
        <v>8</v>
      </c>
      <c r="AJ1133" t="n">
        <v>11</v>
      </c>
      <c r="AK1133" t="n">
        <v>15</v>
      </c>
      <c r="AL1133" t="n">
        <v>4</v>
      </c>
      <c r="AM1133" t="n">
        <v>5</v>
      </c>
      <c r="AN1133" t="n">
        <v>3</v>
      </c>
      <c r="AO1133" t="n">
        <v>5</v>
      </c>
      <c r="AP1133" t="inlineStr">
        <is>
          <t>No</t>
        </is>
      </c>
      <c r="AQ1133" t="inlineStr">
        <is>
          <t>No</t>
        </is>
      </c>
      <c r="AS1133">
        <f>HYPERLINK("https://creighton-primo.hosted.exlibrisgroup.com/primo-explore/search?tab=default_tab&amp;search_scope=EVERYTHING&amp;vid=01CRU&amp;lang=en_US&amp;offset=0&amp;query=any,contains,991004051369702656","Catalog Record")</f>
        <v/>
      </c>
      <c r="AT1133">
        <f>HYPERLINK("http://www.worldcat.org/oclc/2213129","WorldCat Record")</f>
        <v/>
      </c>
      <c r="AU1133" t="inlineStr">
        <is>
          <t>53168:eng</t>
        </is>
      </c>
      <c r="AV1133" t="inlineStr">
        <is>
          <t>2213129</t>
        </is>
      </c>
      <c r="AW1133" t="inlineStr">
        <is>
          <t>991004051369702656</t>
        </is>
      </c>
      <c r="AX1133" t="inlineStr">
        <is>
          <t>991004051369702656</t>
        </is>
      </c>
      <c r="AY1133" t="inlineStr">
        <is>
          <t>2256111290002656</t>
        </is>
      </c>
      <c r="AZ1133" t="inlineStr">
        <is>
          <t>BOOK</t>
        </is>
      </c>
      <c r="BB1133" t="inlineStr">
        <is>
          <t>9780394721866</t>
        </is>
      </c>
      <c r="BC1133" t="inlineStr">
        <is>
          <t>32285000430107</t>
        </is>
      </c>
      <c r="BD1133" t="inlineStr">
        <is>
          <t>893593211</t>
        </is>
      </c>
    </row>
    <row r="1134">
      <c r="A1134" t="inlineStr">
        <is>
          <t>No</t>
        </is>
      </c>
      <c r="B1134" t="inlineStr">
        <is>
          <t>HV8141 .C46 1988</t>
        </is>
      </c>
      <c r="C1134" t="inlineStr">
        <is>
          <t>0                      HV 8141000C  46          1988</t>
        </is>
      </c>
      <c r="D1134" t="inlineStr">
        <is>
          <t>Agents of repression : the FBI's secret wars against the Black Panther Party and the American Indian Movement / by Ward Churchill and Jim Vander Wall.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Churchill, Ward.</t>
        </is>
      </c>
      <c r="L1134" t="inlineStr">
        <is>
          <t>Boston, MA : South End Press, c1988.</t>
        </is>
      </c>
      <c r="M1134" t="inlineStr">
        <is>
          <t>1988</t>
        </is>
      </c>
      <c r="O1134" t="inlineStr">
        <is>
          <t>eng</t>
        </is>
      </c>
      <c r="P1134" t="inlineStr">
        <is>
          <t>mau</t>
        </is>
      </c>
      <c r="R1134" t="inlineStr">
        <is>
          <t xml:space="preserve">HV </t>
        </is>
      </c>
      <c r="S1134" t="n">
        <v>18</v>
      </c>
      <c r="T1134" t="n">
        <v>18</v>
      </c>
      <c r="U1134" t="inlineStr">
        <is>
          <t>2010-07-30</t>
        </is>
      </c>
      <c r="V1134" t="inlineStr">
        <is>
          <t>2010-07-30</t>
        </is>
      </c>
      <c r="W1134" t="inlineStr">
        <is>
          <t>1989-11-01</t>
        </is>
      </c>
      <c r="X1134" t="inlineStr">
        <is>
          <t>1989-11-01</t>
        </is>
      </c>
      <c r="Y1134" t="n">
        <v>505</v>
      </c>
      <c r="Z1134" t="n">
        <v>455</v>
      </c>
      <c r="AA1134" t="n">
        <v>810</v>
      </c>
      <c r="AB1134" t="n">
        <v>3</v>
      </c>
      <c r="AC1134" t="n">
        <v>5</v>
      </c>
      <c r="AD1134" t="n">
        <v>22</v>
      </c>
      <c r="AE1134" t="n">
        <v>31</v>
      </c>
      <c r="AF1134" t="n">
        <v>6</v>
      </c>
      <c r="AG1134" t="n">
        <v>9</v>
      </c>
      <c r="AH1134" t="n">
        <v>7</v>
      </c>
      <c r="AI1134" t="n">
        <v>8</v>
      </c>
      <c r="AJ1134" t="n">
        <v>6</v>
      </c>
      <c r="AK1134" t="n">
        <v>11</v>
      </c>
      <c r="AL1134" t="n">
        <v>2</v>
      </c>
      <c r="AM1134" t="n">
        <v>3</v>
      </c>
      <c r="AN1134" t="n">
        <v>6</v>
      </c>
      <c r="AO1134" t="n">
        <v>6</v>
      </c>
      <c r="AP1134" t="inlineStr">
        <is>
          <t>No</t>
        </is>
      </c>
      <c r="AQ1134" t="inlineStr">
        <is>
          <t>No</t>
        </is>
      </c>
      <c r="AS1134">
        <f>HYPERLINK("https://creighton-primo.hosted.exlibrisgroup.com/primo-explore/search?tab=default_tab&amp;search_scope=EVERYTHING&amp;vid=01CRU&amp;lang=en_US&amp;offset=0&amp;query=any,contains,991001289169702656","Catalog Record")</f>
        <v/>
      </c>
      <c r="AT1134">
        <f>HYPERLINK("http://www.worldcat.org/oclc/17982227","WorldCat Record")</f>
        <v/>
      </c>
      <c r="AU1134" t="inlineStr">
        <is>
          <t>2034340:eng</t>
        </is>
      </c>
      <c r="AV1134" t="inlineStr">
        <is>
          <t>17982227</t>
        </is>
      </c>
      <c r="AW1134" t="inlineStr">
        <is>
          <t>991001289169702656</t>
        </is>
      </c>
      <c r="AX1134" t="inlineStr">
        <is>
          <t>991001289169702656</t>
        </is>
      </c>
      <c r="AY1134" t="inlineStr">
        <is>
          <t>2259321500002656</t>
        </is>
      </c>
      <c r="AZ1134" t="inlineStr">
        <is>
          <t>BOOK</t>
        </is>
      </c>
      <c r="BB1134" t="inlineStr">
        <is>
          <t>9780896082939</t>
        </is>
      </c>
      <c r="BC1134" t="inlineStr">
        <is>
          <t>32285000011402</t>
        </is>
      </c>
      <c r="BD1134" t="inlineStr">
        <is>
          <t>893522468</t>
        </is>
      </c>
    </row>
    <row r="1135">
      <c r="A1135" t="inlineStr">
        <is>
          <t>No</t>
        </is>
      </c>
      <c r="B1135" t="inlineStr">
        <is>
          <t>HV8141 .C6</t>
        </is>
      </c>
      <c r="C1135" t="inlineStr">
        <is>
          <t>0                      HV 8141000C  6</t>
        </is>
      </c>
      <c r="D1135" t="inlineStr">
        <is>
          <t>The FBI in peace and war / by Frederick L. Collins, with an introduction by J. Edgar Hoover.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Collins, Frederick L. (Frederick Lewis), 1882-1950.</t>
        </is>
      </c>
      <c r="L1135" t="inlineStr">
        <is>
          <t>New York, G.P. Putnam's Sons [1943]</t>
        </is>
      </c>
      <c r="M1135" t="inlineStr">
        <is>
          <t>1943</t>
        </is>
      </c>
      <c r="O1135" t="inlineStr">
        <is>
          <t>eng</t>
        </is>
      </c>
      <c r="P1135" t="inlineStr">
        <is>
          <t>___</t>
        </is>
      </c>
      <c r="R1135" t="inlineStr">
        <is>
          <t xml:space="preserve">HV </t>
        </is>
      </c>
      <c r="S1135" t="n">
        <v>3</v>
      </c>
      <c r="T1135" t="n">
        <v>3</v>
      </c>
      <c r="U1135" t="inlineStr">
        <is>
          <t>1992-08-29</t>
        </is>
      </c>
      <c r="V1135" t="inlineStr">
        <is>
          <t>1992-08-29</t>
        </is>
      </c>
      <c r="W1135" t="inlineStr">
        <is>
          <t>1990-02-08</t>
        </is>
      </c>
      <c r="X1135" t="inlineStr">
        <is>
          <t>1990-02-08</t>
        </is>
      </c>
      <c r="Y1135" t="n">
        <v>290</v>
      </c>
      <c r="Z1135" t="n">
        <v>279</v>
      </c>
      <c r="AA1135" t="n">
        <v>379</v>
      </c>
      <c r="AB1135" t="n">
        <v>4</v>
      </c>
      <c r="AC1135" t="n">
        <v>4</v>
      </c>
      <c r="AD1135" t="n">
        <v>15</v>
      </c>
      <c r="AE1135" t="n">
        <v>17</v>
      </c>
      <c r="AF1135" t="n">
        <v>3</v>
      </c>
      <c r="AG1135" t="n">
        <v>4</v>
      </c>
      <c r="AH1135" t="n">
        <v>4</v>
      </c>
      <c r="AI1135" t="n">
        <v>4</v>
      </c>
      <c r="AJ1135" t="n">
        <v>5</v>
      </c>
      <c r="AK1135" t="n">
        <v>6</v>
      </c>
      <c r="AL1135" t="n">
        <v>3</v>
      </c>
      <c r="AM1135" t="n">
        <v>3</v>
      </c>
      <c r="AN1135" t="n">
        <v>1</v>
      </c>
      <c r="AO1135" t="n">
        <v>1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HYPERLINK("http://catalog.hathitrust.org/Record/002239115","HathiTrust Record")</f>
        <v/>
      </c>
      <c r="AS1135">
        <f>HYPERLINK("https://creighton-primo.hosted.exlibrisgroup.com/primo-explore/search?tab=default_tab&amp;search_scope=EVERYTHING&amp;vid=01CRU&amp;lang=en_US&amp;offset=0&amp;query=any,contains,991003348309702656","Catalog Record")</f>
        <v/>
      </c>
      <c r="AT1135">
        <f>HYPERLINK("http://www.worldcat.org/oclc/880379","WorldCat Record")</f>
        <v/>
      </c>
      <c r="AU1135" t="inlineStr">
        <is>
          <t>1856646:eng</t>
        </is>
      </c>
      <c r="AV1135" t="inlineStr">
        <is>
          <t>880379</t>
        </is>
      </c>
      <c r="AW1135" t="inlineStr">
        <is>
          <t>991003348309702656</t>
        </is>
      </c>
      <c r="AX1135" t="inlineStr">
        <is>
          <t>991003348309702656</t>
        </is>
      </c>
      <c r="AY1135" t="inlineStr">
        <is>
          <t>2261697090002656</t>
        </is>
      </c>
      <c r="AZ1135" t="inlineStr">
        <is>
          <t>BOOK</t>
        </is>
      </c>
      <c r="BC1135" t="inlineStr">
        <is>
          <t>32285000008358</t>
        </is>
      </c>
      <c r="BD1135" t="inlineStr">
        <is>
          <t>893610943</t>
        </is>
      </c>
    </row>
    <row r="1136">
      <c r="A1136" t="inlineStr">
        <is>
          <t>No</t>
        </is>
      </c>
      <c r="B1136" t="inlineStr">
        <is>
          <t>HV8141 .D59 2000</t>
        </is>
      </c>
      <c r="C1136" t="inlineStr">
        <is>
          <t>0                      HV 8141000D  59          2000</t>
        </is>
      </c>
      <c r="D1136" t="inlineStr">
        <is>
          <t>Police brutality and international human rights in the United States : the report on hearings held in Los Angeles, California, Chicago, Illinois, and Pittsburgh, Pennsylvania, fall 1999 / Kwame Dixon and Patricia E. Allard for Amnesty International USA.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Dixon, Kwame.</t>
        </is>
      </c>
      <c r="L1136" t="inlineStr">
        <is>
          <t>New York, NY ; Amnesty International USA, 2000.</t>
        </is>
      </c>
      <c r="M1136" t="inlineStr">
        <is>
          <t>2000</t>
        </is>
      </c>
      <c r="O1136" t="inlineStr">
        <is>
          <t>eng</t>
        </is>
      </c>
      <c r="P1136" t="inlineStr">
        <is>
          <t>nyu</t>
        </is>
      </c>
      <c r="R1136" t="inlineStr">
        <is>
          <t xml:space="preserve">HV </t>
        </is>
      </c>
      <c r="S1136" t="n">
        <v>6</v>
      </c>
      <c r="T1136" t="n">
        <v>6</v>
      </c>
      <c r="U1136" t="inlineStr">
        <is>
          <t>2007-11-08</t>
        </is>
      </c>
      <c r="V1136" t="inlineStr">
        <is>
          <t>2007-11-08</t>
        </is>
      </c>
      <c r="W1136" t="inlineStr">
        <is>
          <t>2000-08-14</t>
        </is>
      </c>
      <c r="X1136" t="inlineStr">
        <is>
          <t>2000-08-14</t>
        </is>
      </c>
      <c r="Y1136" t="n">
        <v>68</v>
      </c>
      <c r="Z1136" t="n">
        <v>65</v>
      </c>
      <c r="AA1136" t="n">
        <v>65</v>
      </c>
      <c r="AB1136" t="n">
        <v>1</v>
      </c>
      <c r="AC1136" t="n">
        <v>1</v>
      </c>
      <c r="AD1136" t="n">
        <v>4</v>
      </c>
      <c r="AE1136" t="n">
        <v>4</v>
      </c>
      <c r="AF1136" t="n">
        <v>0</v>
      </c>
      <c r="AG1136" t="n">
        <v>0</v>
      </c>
      <c r="AH1136" t="n">
        <v>1</v>
      </c>
      <c r="AI1136" t="n">
        <v>1</v>
      </c>
      <c r="AJ1136" t="n">
        <v>2</v>
      </c>
      <c r="AK1136" t="n">
        <v>2</v>
      </c>
      <c r="AL1136" t="n">
        <v>0</v>
      </c>
      <c r="AM1136" t="n">
        <v>0</v>
      </c>
      <c r="AN1136" t="n">
        <v>1</v>
      </c>
      <c r="AO1136" t="n">
        <v>1</v>
      </c>
      <c r="AP1136" t="inlineStr">
        <is>
          <t>No</t>
        </is>
      </c>
      <c r="AQ1136" t="inlineStr">
        <is>
          <t>No</t>
        </is>
      </c>
      <c r="AS1136">
        <f>HYPERLINK("https://creighton-primo.hosted.exlibrisgroup.com/primo-explore/search?tab=default_tab&amp;search_scope=EVERYTHING&amp;vid=01CRU&amp;lang=en_US&amp;offset=0&amp;query=any,contains,991003265429702656","Catalog Record")</f>
        <v/>
      </c>
      <c r="AT1136">
        <f>HYPERLINK("http://www.worldcat.org/oclc/44531381","WorldCat Record")</f>
        <v/>
      </c>
      <c r="AU1136" t="inlineStr">
        <is>
          <t>5659806879:eng</t>
        </is>
      </c>
      <c r="AV1136" t="inlineStr">
        <is>
          <t>44531381</t>
        </is>
      </c>
      <c r="AW1136" t="inlineStr">
        <is>
          <t>991003265429702656</t>
        </is>
      </c>
      <c r="AX1136" t="inlineStr">
        <is>
          <t>991003265429702656</t>
        </is>
      </c>
      <c r="AY1136" t="inlineStr">
        <is>
          <t>2257514000002656</t>
        </is>
      </c>
      <c r="AZ1136" t="inlineStr">
        <is>
          <t>BOOK</t>
        </is>
      </c>
      <c r="BB1136" t="inlineStr">
        <is>
          <t>9781887204200</t>
        </is>
      </c>
      <c r="BC1136" t="inlineStr">
        <is>
          <t>32285003757381</t>
        </is>
      </c>
      <c r="BD1136" t="inlineStr">
        <is>
          <t>893893551</t>
        </is>
      </c>
    </row>
    <row r="1137">
      <c r="A1137" t="inlineStr">
        <is>
          <t>No</t>
        </is>
      </c>
      <c r="B1137" t="inlineStr">
        <is>
          <t>HV8141 .E6 1970</t>
        </is>
      </c>
      <c r="C1137" t="inlineStr">
        <is>
          <t>0                      HV 8141000E  6           1970</t>
        </is>
      </c>
      <c r="D1137" t="inlineStr">
        <is>
          <t>Intergroup relations for police officers.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Epstein, Charlotte.</t>
        </is>
      </c>
      <c r="L1137" t="inlineStr">
        <is>
          <t>Darien, Conn. : Hafner Pub. Co., 1970 [c1962]</t>
        </is>
      </c>
      <c r="M1137" t="inlineStr">
        <is>
          <t>1970</t>
        </is>
      </c>
      <c r="O1137" t="inlineStr">
        <is>
          <t>eng</t>
        </is>
      </c>
      <c r="P1137" t="inlineStr">
        <is>
          <t>ctu</t>
        </is>
      </c>
      <c r="R1137" t="inlineStr">
        <is>
          <t xml:space="preserve">HV </t>
        </is>
      </c>
      <c r="S1137" t="n">
        <v>1</v>
      </c>
      <c r="T1137" t="n">
        <v>1</v>
      </c>
      <c r="U1137" t="inlineStr">
        <is>
          <t>2007-11-08</t>
        </is>
      </c>
      <c r="V1137" t="inlineStr">
        <is>
          <t>2007-11-08</t>
        </is>
      </c>
      <c r="W1137" t="inlineStr">
        <is>
          <t>1993-12-14</t>
        </is>
      </c>
      <c r="X1137" t="inlineStr">
        <is>
          <t>1993-12-14</t>
        </is>
      </c>
      <c r="Y1137" t="n">
        <v>88</v>
      </c>
      <c r="Z1137" t="n">
        <v>81</v>
      </c>
      <c r="AA1137" t="n">
        <v>194</v>
      </c>
      <c r="AB1137" t="n">
        <v>2</v>
      </c>
      <c r="AC1137" t="n">
        <v>3</v>
      </c>
      <c r="AD1137" t="n">
        <v>4</v>
      </c>
      <c r="AE1137" t="n">
        <v>11</v>
      </c>
      <c r="AF1137" t="n">
        <v>1</v>
      </c>
      <c r="AG1137" t="n">
        <v>2</v>
      </c>
      <c r="AH1137" t="n">
        <v>0</v>
      </c>
      <c r="AI1137" t="n">
        <v>4</v>
      </c>
      <c r="AJ1137" t="n">
        <v>1</v>
      </c>
      <c r="AK1137" t="n">
        <v>4</v>
      </c>
      <c r="AL1137" t="n">
        <v>1</v>
      </c>
      <c r="AM1137" t="n">
        <v>1</v>
      </c>
      <c r="AN1137" t="n">
        <v>1</v>
      </c>
      <c r="AO1137" t="n">
        <v>3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HYPERLINK("https://creighton-primo.hosted.exlibrisgroup.com/primo-explore/search?tab=default_tab&amp;search_scope=EVERYTHING&amp;vid=01CRU&amp;lang=en_US&amp;offset=0&amp;query=any,contains,991000613559702656","Catalog Record")</f>
        <v/>
      </c>
      <c r="AT1137">
        <f>HYPERLINK("http://www.worldcat.org/oclc/101016","WorldCat Record")</f>
        <v/>
      </c>
      <c r="AU1137" t="inlineStr">
        <is>
          <t>1169995:eng</t>
        </is>
      </c>
      <c r="AV1137" t="inlineStr">
        <is>
          <t>101016</t>
        </is>
      </c>
      <c r="AW1137" t="inlineStr">
        <is>
          <t>991000613559702656</t>
        </is>
      </c>
      <c r="AX1137" t="inlineStr">
        <is>
          <t>991000613559702656</t>
        </is>
      </c>
      <c r="AY1137" t="inlineStr">
        <is>
          <t>2261400610002656</t>
        </is>
      </c>
      <c r="AZ1137" t="inlineStr">
        <is>
          <t>BOOK</t>
        </is>
      </c>
      <c r="BC1137" t="inlineStr">
        <is>
          <t>32285001808566</t>
        </is>
      </c>
      <c r="BD1137" t="inlineStr">
        <is>
          <t>893231259</t>
        </is>
      </c>
    </row>
    <row r="1138">
      <c r="A1138" t="inlineStr">
        <is>
          <t>No</t>
        </is>
      </c>
      <c r="B1138" t="inlineStr">
        <is>
          <t>HV8141 .M5</t>
        </is>
      </c>
      <c r="C1138" t="inlineStr">
        <is>
          <t>0                      HV 8141000M  5</t>
        </is>
      </c>
      <c r="D1138" t="inlineStr">
        <is>
          <t>Crime control by the national government, by Arthur C. Millspaugh.</t>
        </is>
      </c>
      <c r="F1138" t="inlineStr">
        <is>
          <t>No</t>
        </is>
      </c>
      <c r="G1138" t="inlineStr">
        <is>
          <t>1</t>
        </is>
      </c>
      <c r="H1138" t="inlineStr">
        <is>
          <t>Yes</t>
        </is>
      </c>
      <c r="I1138" t="inlineStr">
        <is>
          <t>No</t>
        </is>
      </c>
      <c r="J1138" t="inlineStr">
        <is>
          <t>0</t>
        </is>
      </c>
      <c r="K1138" t="inlineStr">
        <is>
          <t>Millspaugh, Arthur Chester, 1883-1955.</t>
        </is>
      </c>
      <c r="L1138" t="inlineStr">
        <is>
          <t>Washington, D.C., The Brookings Institution, 1937.</t>
        </is>
      </c>
      <c r="M1138" t="inlineStr">
        <is>
          <t>1937</t>
        </is>
      </c>
      <c r="O1138" t="inlineStr">
        <is>
          <t>eng</t>
        </is>
      </c>
      <c r="P1138" t="inlineStr">
        <is>
          <t>dcu</t>
        </is>
      </c>
      <c r="Q1138" t="inlineStr">
        <is>
          <t>The Institute for Government Research of the Brookings Institution. Studies in administration, no. 34</t>
        </is>
      </c>
      <c r="R1138" t="inlineStr">
        <is>
          <t xml:space="preserve">HV </t>
        </is>
      </c>
      <c r="S1138" t="n">
        <v>3</v>
      </c>
      <c r="T1138" t="n">
        <v>3</v>
      </c>
      <c r="U1138" t="inlineStr">
        <is>
          <t>2003-09-03</t>
        </is>
      </c>
      <c r="V1138" t="inlineStr">
        <is>
          <t>2003-09-03</t>
        </is>
      </c>
      <c r="W1138" t="inlineStr">
        <is>
          <t>1997-08-25</t>
        </is>
      </c>
      <c r="X1138" t="inlineStr">
        <is>
          <t>1997-08-25</t>
        </is>
      </c>
      <c r="Y1138" t="n">
        <v>294</v>
      </c>
      <c r="Z1138" t="n">
        <v>279</v>
      </c>
      <c r="AA1138" t="n">
        <v>539</v>
      </c>
      <c r="AB1138" t="n">
        <v>5</v>
      </c>
      <c r="AC1138" t="n">
        <v>6</v>
      </c>
      <c r="AD1138" t="n">
        <v>22</v>
      </c>
      <c r="AE1138" t="n">
        <v>41</v>
      </c>
      <c r="AF1138" t="n">
        <v>7</v>
      </c>
      <c r="AG1138" t="n">
        <v>12</v>
      </c>
      <c r="AH1138" t="n">
        <v>4</v>
      </c>
      <c r="AI1138" t="n">
        <v>7</v>
      </c>
      <c r="AJ1138" t="n">
        <v>12</v>
      </c>
      <c r="AK1138" t="n">
        <v>16</v>
      </c>
      <c r="AL1138" t="n">
        <v>3</v>
      </c>
      <c r="AM1138" t="n">
        <v>3</v>
      </c>
      <c r="AN1138" t="n">
        <v>3</v>
      </c>
      <c r="AO1138" t="n">
        <v>12</v>
      </c>
      <c r="AP1138" t="inlineStr">
        <is>
          <t>Yes</t>
        </is>
      </c>
      <c r="AQ1138" t="inlineStr">
        <is>
          <t>No</t>
        </is>
      </c>
      <c r="AR1138">
        <f>HYPERLINK("http://catalog.hathitrust.org/Record/001134618","HathiTrust Record")</f>
        <v/>
      </c>
      <c r="AS1138">
        <f>HYPERLINK("https://creighton-primo.hosted.exlibrisgroup.com/primo-explore/search?tab=default_tab&amp;search_scope=EVERYTHING&amp;vid=01CRU&amp;lang=en_US&amp;offset=0&amp;query=any,contains,991001632529702656","Catalog Record")</f>
        <v/>
      </c>
      <c r="AT1138">
        <f>HYPERLINK("http://www.worldcat.org/oclc/376705","WorldCat Record")</f>
        <v/>
      </c>
      <c r="AU1138" t="inlineStr">
        <is>
          <t>438903:eng</t>
        </is>
      </c>
      <c r="AV1138" t="inlineStr">
        <is>
          <t>376705</t>
        </is>
      </c>
      <c r="AW1138" t="inlineStr">
        <is>
          <t>991001632529702656</t>
        </is>
      </c>
      <c r="AX1138" t="inlineStr">
        <is>
          <t>991001632529702656</t>
        </is>
      </c>
      <c r="AY1138" t="inlineStr">
        <is>
          <t>2263620710002656</t>
        </is>
      </c>
      <c r="AZ1138" t="inlineStr">
        <is>
          <t>BOOK</t>
        </is>
      </c>
      <c r="BC1138" t="inlineStr">
        <is>
          <t>32285003158937</t>
        </is>
      </c>
      <c r="BD1138" t="inlineStr">
        <is>
          <t>893346642</t>
        </is>
      </c>
    </row>
    <row r="1139">
      <c r="A1139" t="inlineStr">
        <is>
          <t>No</t>
        </is>
      </c>
      <c r="B1139" t="inlineStr">
        <is>
          <t>HV8141 .P36 1994</t>
        </is>
      </c>
      <c r="C1139" t="inlineStr">
        <is>
          <t>0                      HV 8141000P  36          1994</t>
        </is>
      </c>
      <c r="D1139" t="inlineStr">
        <is>
          <t>Common sense about police review / Douglas W. Perez.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K1139" t="inlineStr">
        <is>
          <t>Perez, Douglas Werner.</t>
        </is>
      </c>
      <c r="L1139" t="inlineStr">
        <is>
          <t>Philadelphia, Penn. : Temple University Press, 1994.</t>
        </is>
      </c>
      <c r="M1139" t="inlineStr">
        <is>
          <t>1994</t>
        </is>
      </c>
      <c r="O1139" t="inlineStr">
        <is>
          <t>eng</t>
        </is>
      </c>
      <c r="P1139" t="inlineStr">
        <is>
          <t>pau</t>
        </is>
      </c>
      <c r="R1139" t="inlineStr">
        <is>
          <t xml:space="preserve">HV </t>
        </is>
      </c>
      <c r="S1139" t="n">
        <v>1</v>
      </c>
      <c r="T1139" t="n">
        <v>1</v>
      </c>
      <c r="U1139" t="inlineStr">
        <is>
          <t>2007-11-08</t>
        </is>
      </c>
      <c r="V1139" t="inlineStr">
        <is>
          <t>2007-11-08</t>
        </is>
      </c>
      <c r="W1139" t="inlineStr">
        <is>
          <t>1995-04-17</t>
        </is>
      </c>
      <c r="X1139" t="inlineStr">
        <is>
          <t>1995-04-17</t>
        </is>
      </c>
      <c r="Y1139" t="n">
        <v>422</v>
      </c>
      <c r="Z1139" t="n">
        <v>392</v>
      </c>
      <c r="AA1139" t="n">
        <v>398</v>
      </c>
      <c r="AB1139" t="n">
        <v>6</v>
      </c>
      <c r="AC1139" t="n">
        <v>6</v>
      </c>
      <c r="AD1139" t="n">
        <v>20</v>
      </c>
      <c r="AE1139" t="n">
        <v>20</v>
      </c>
      <c r="AF1139" t="n">
        <v>3</v>
      </c>
      <c r="AG1139" t="n">
        <v>3</v>
      </c>
      <c r="AH1139" t="n">
        <v>3</v>
      </c>
      <c r="AI1139" t="n">
        <v>3</v>
      </c>
      <c r="AJ1139" t="n">
        <v>8</v>
      </c>
      <c r="AK1139" t="n">
        <v>8</v>
      </c>
      <c r="AL1139" t="n">
        <v>5</v>
      </c>
      <c r="AM1139" t="n">
        <v>5</v>
      </c>
      <c r="AN1139" t="n">
        <v>4</v>
      </c>
      <c r="AO1139" t="n">
        <v>4</v>
      </c>
      <c r="AP1139" t="inlineStr">
        <is>
          <t>No</t>
        </is>
      </c>
      <c r="AQ1139" t="inlineStr">
        <is>
          <t>No</t>
        </is>
      </c>
      <c r="AS1139">
        <f>HYPERLINK("https://creighton-primo.hosted.exlibrisgroup.com/primo-explore/search?tab=default_tab&amp;search_scope=EVERYTHING&amp;vid=01CRU&amp;lang=en_US&amp;offset=0&amp;query=any,contains,991002185469702656","Catalog Record")</f>
        <v/>
      </c>
      <c r="AT1139">
        <f>HYPERLINK("http://www.worldcat.org/oclc/28147956","WorldCat Record")</f>
        <v/>
      </c>
      <c r="AU1139" t="inlineStr">
        <is>
          <t>30819248:eng</t>
        </is>
      </c>
      <c r="AV1139" t="inlineStr">
        <is>
          <t>28147956</t>
        </is>
      </c>
      <c r="AW1139" t="inlineStr">
        <is>
          <t>991002185469702656</t>
        </is>
      </c>
      <c r="AX1139" t="inlineStr">
        <is>
          <t>991002185469702656</t>
        </is>
      </c>
      <c r="AY1139" t="inlineStr">
        <is>
          <t>2254802980002656</t>
        </is>
      </c>
      <c r="AZ1139" t="inlineStr">
        <is>
          <t>BOOK</t>
        </is>
      </c>
      <c r="BB1139" t="inlineStr">
        <is>
          <t>9781566391320</t>
        </is>
      </c>
      <c r="BC1139" t="inlineStr">
        <is>
          <t>32285002019114</t>
        </is>
      </c>
      <c r="BD1139" t="inlineStr">
        <is>
          <t>893316486</t>
        </is>
      </c>
    </row>
    <row r="1140">
      <c r="A1140" t="inlineStr">
        <is>
          <t>No</t>
        </is>
      </c>
      <c r="B1140" t="inlineStr">
        <is>
          <t>HV8141 .S29 1983</t>
        </is>
      </c>
      <c r="C1140" t="inlineStr">
        <is>
          <t>0                      HV 8141000S  29          1983</t>
        </is>
      </c>
      <c r="D1140" t="inlineStr">
        <is>
          <t>The badge and the bullet : police use of deadly force / Peter Scharf, Arnold Binder.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Scharf, Peter, 1945-</t>
        </is>
      </c>
      <c r="L1140" t="inlineStr">
        <is>
          <t>New York, NY, USA : Praeger, 1983.</t>
        </is>
      </c>
      <c r="M1140" t="inlineStr">
        <is>
          <t>1983</t>
        </is>
      </c>
      <c r="O1140" t="inlineStr">
        <is>
          <t>eng</t>
        </is>
      </c>
      <c r="P1140" t="inlineStr">
        <is>
          <t>nyu</t>
        </is>
      </c>
      <c r="R1140" t="inlineStr">
        <is>
          <t xml:space="preserve">HV </t>
        </is>
      </c>
      <c r="S1140" t="n">
        <v>11</v>
      </c>
      <c r="T1140" t="n">
        <v>11</v>
      </c>
      <c r="U1140" t="inlineStr">
        <is>
          <t>2007-04-11</t>
        </is>
      </c>
      <c r="V1140" t="inlineStr">
        <is>
          <t>2007-04-11</t>
        </is>
      </c>
      <c r="W1140" t="inlineStr">
        <is>
          <t>1993-07-23</t>
        </is>
      </c>
      <c r="X1140" t="inlineStr">
        <is>
          <t>1993-07-23</t>
        </is>
      </c>
      <c r="Y1140" t="n">
        <v>665</v>
      </c>
      <c r="Z1140" t="n">
        <v>605</v>
      </c>
      <c r="AA1140" t="n">
        <v>611</v>
      </c>
      <c r="AB1140" t="n">
        <v>8</v>
      </c>
      <c r="AC1140" t="n">
        <v>8</v>
      </c>
      <c r="AD1140" t="n">
        <v>33</v>
      </c>
      <c r="AE1140" t="n">
        <v>33</v>
      </c>
      <c r="AF1140" t="n">
        <v>13</v>
      </c>
      <c r="AG1140" t="n">
        <v>13</v>
      </c>
      <c r="AH1140" t="n">
        <v>6</v>
      </c>
      <c r="AI1140" t="n">
        <v>6</v>
      </c>
      <c r="AJ1140" t="n">
        <v>13</v>
      </c>
      <c r="AK1140" t="n">
        <v>13</v>
      </c>
      <c r="AL1140" t="n">
        <v>6</v>
      </c>
      <c r="AM1140" t="n">
        <v>6</v>
      </c>
      <c r="AN1140" t="n">
        <v>2</v>
      </c>
      <c r="AO1140" t="n">
        <v>2</v>
      </c>
      <c r="AP1140" t="inlineStr">
        <is>
          <t>No</t>
        </is>
      </c>
      <c r="AQ1140" t="inlineStr">
        <is>
          <t>Yes</t>
        </is>
      </c>
      <c r="AR1140">
        <f>HYPERLINK("http://catalog.hathitrust.org/Record/000608924","HathiTrust Record")</f>
        <v/>
      </c>
      <c r="AS1140">
        <f>HYPERLINK("https://creighton-primo.hosted.exlibrisgroup.com/primo-explore/search?tab=default_tab&amp;search_scope=EVERYTHING&amp;vid=01CRU&amp;lang=en_US&amp;offset=0&amp;query=any,contains,991000179429702656","Catalog Record")</f>
        <v/>
      </c>
      <c r="AT1140">
        <f>HYPERLINK("http://www.worldcat.org/oclc/9371088","WorldCat Record")</f>
        <v/>
      </c>
      <c r="AU1140" t="inlineStr">
        <is>
          <t>144909163:eng</t>
        </is>
      </c>
      <c r="AV1140" t="inlineStr">
        <is>
          <t>9371088</t>
        </is>
      </c>
      <c r="AW1140" t="inlineStr">
        <is>
          <t>991000179429702656</t>
        </is>
      </c>
      <c r="AX1140" t="inlineStr">
        <is>
          <t>991000179429702656</t>
        </is>
      </c>
      <c r="AY1140" t="inlineStr">
        <is>
          <t>2267014920002656</t>
        </is>
      </c>
      <c r="AZ1140" t="inlineStr">
        <is>
          <t>BOOK</t>
        </is>
      </c>
      <c r="BB1140" t="inlineStr">
        <is>
          <t>9780030629648</t>
        </is>
      </c>
      <c r="BC1140" t="inlineStr">
        <is>
          <t>32285001745040</t>
        </is>
      </c>
      <c r="BD1140" t="inlineStr">
        <is>
          <t>893620278</t>
        </is>
      </c>
    </row>
    <row r="1141">
      <c r="A1141" t="inlineStr">
        <is>
          <t>No</t>
        </is>
      </c>
      <c r="B1141" t="inlineStr">
        <is>
          <t>HV8141 .S53 1998</t>
        </is>
      </c>
      <c r="C1141" t="inlineStr">
        <is>
          <t>0                      HV 8141000S  53          1998</t>
        </is>
      </c>
      <c r="D1141" t="inlineStr">
        <is>
          <t>Shielded from justice : police brutality and accountability in the United States.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L1141" t="inlineStr">
        <is>
          <t>New York : Human Rights Watch, c1998.</t>
        </is>
      </c>
      <c r="M1141" t="inlineStr">
        <is>
          <t>1998</t>
        </is>
      </c>
      <c r="O1141" t="inlineStr">
        <is>
          <t>eng</t>
        </is>
      </c>
      <c r="P1141" t="inlineStr">
        <is>
          <t>nyu</t>
        </is>
      </c>
      <c r="R1141" t="inlineStr">
        <is>
          <t xml:space="preserve">HV </t>
        </is>
      </c>
      <c r="S1141" t="n">
        <v>7</v>
      </c>
      <c r="T1141" t="n">
        <v>7</v>
      </c>
      <c r="U1141" t="inlineStr">
        <is>
          <t>2005-01-11</t>
        </is>
      </c>
      <c r="V1141" t="inlineStr">
        <is>
          <t>2005-01-11</t>
        </is>
      </c>
      <c r="W1141" t="inlineStr">
        <is>
          <t>1998-12-14</t>
        </is>
      </c>
      <c r="X1141" t="inlineStr">
        <is>
          <t>1998-12-14</t>
        </is>
      </c>
      <c r="Y1141" t="n">
        <v>568</v>
      </c>
      <c r="Z1141" t="n">
        <v>511</v>
      </c>
      <c r="AA1141" t="n">
        <v>529</v>
      </c>
      <c r="AB1141" t="n">
        <v>3</v>
      </c>
      <c r="AC1141" t="n">
        <v>3</v>
      </c>
      <c r="AD1141" t="n">
        <v>28</v>
      </c>
      <c r="AE1141" t="n">
        <v>28</v>
      </c>
      <c r="AF1141" t="n">
        <v>8</v>
      </c>
      <c r="AG1141" t="n">
        <v>8</v>
      </c>
      <c r="AH1141" t="n">
        <v>5</v>
      </c>
      <c r="AI1141" t="n">
        <v>5</v>
      </c>
      <c r="AJ1141" t="n">
        <v>8</v>
      </c>
      <c r="AK1141" t="n">
        <v>8</v>
      </c>
      <c r="AL1141" t="n">
        <v>2</v>
      </c>
      <c r="AM1141" t="n">
        <v>2</v>
      </c>
      <c r="AN1141" t="n">
        <v>9</v>
      </c>
      <c r="AO1141" t="n">
        <v>9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HYPERLINK("https://creighton-primo.hosted.exlibrisgroup.com/primo-explore/search?tab=default_tab&amp;search_scope=EVERYTHING&amp;vid=01CRU&amp;lang=en_US&amp;offset=0&amp;query=any,contains,991002958159702656","Catalog Record")</f>
        <v/>
      </c>
      <c r="AT1141">
        <f>HYPERLINK("http://www.worldcat.org/oclc/39521365","WorldCat Record")</f>
        <v/>
      </c>
      <c r="AU1141" t="inlineStr">
        <is>
          <t>836968391:eng</t>
        </is>
      </c>
      <c r="AV1141" t="inlineStr">
        <is>
          <t>39521365</t>
        </is>
      </c>
      <c r="AW1141" t="inlineStr">
        <is>
          <t>991002958159702656</t>
        </is>
      </c>
      <c r="AX1141" t="inlineStr">
        <is>
          <t>991002958159702656</t>
        </is>
      </c>
      <c r="AY1141" t="inlineStr">
        <is>
          <t>2255148600002656</t>
        </is>
      </c>
      <c r="AZ1141" t="inlineStr">
        <is>
          <t>BOOK</t>
        </is>
      </c>
      <c r="BB1141" t="inlineStr">
        <is>
          <t>9781564321831</t>
        </is>
      </c>
      <c r="BC1141" t="inlineStr">
        <is>
          <t>32285003506002</t>
        </is>
      </c>
      <c r="BD1141" t="inlineStr">
        <is>
          <t>893428267</t>
        </is>
      </c>
    </row>
    <row r="1142">
      <c r="A1142" t="inlineStr">
        <is>
          <t>No</t>
        </is>
      </c>
      <c r="B1142" t="inlineStr">
        <is>
          <t>HV8141 .W42</t>
        </is>
      </c>
      <c r="C1142" t="inlineStr">
        <is>
          <t>0                      HV 8141000W  42</t>
        </is>
      </c>
      <c r="D1142" t="inlineStr">
        <is>
          <t>Violence and the police : a sociological study of law, custom, and morality / [by] William A. Westley.</t>
        </is>
      </c>
      <c r="F1142" t="inlineStr">
        <is>
          <t>No</t>
        </is>
      </c>
      <c r="G1142" t="inlineStr">
        <is>
          <t>1</t>
        </is>
      </c>
      <c r="H1142" t="inlineStr">
        <is>
          <t>Yes</t>
        </is>
      </c>
      <c r="I1142" t="inlineStr">
        <is>
          <t>No</t>
        </is>
      </c>
      <c r="J1142" t="inlineStr">
        <is>
          <t>0</t>
        </is>
      </c>
      <c r="K1142" t="inlineStr">
        <is>
          <t>Westley, William A.</t>
        </is>
      </c>
      <c r="L1142" t="inlineStr">
        <is>
          <t>Cambridge, Mass. : MIT Press, [1970].</t>
        </is>
      </c>
      <c r="M1142" t="inlineStr">
        <is>
          <t>1970</t>
        </is>
      </c>
      <c r="O1142" t="inlineStr">
        <is>
          <t>eng</t>
        </is>
      </c>
      <c r="P1142" t="inlineStr">
        <is>
          <t>mau</t>
        </is>
      </c>
      <c r="R1142" t="inlineStr">
        <is>
          <t xml:space="preserve">HV </t>
        </is>
      </c>
      <c r="S1142" t="n">
        <v>4</v>
      </c>
      <c r="T1142" t="n">
        <v>4</v>
      </c>
      <c r="U1142" t="inlineStr">
        <is>
          <t>2007-04-11</t>
        </is>
      </c>
      <c r="V1142" t="inlineStr">
        <is>
          <t>2007-04-11</t>
        </is>
      </c>
      <c r="W1142" t="inlineStr">
        <is>
          <t>1993-12-16</t>
        </is>
      </c>
      <c r="X1142" t="inlineStr">
        <is>
          <t>1993-12-16</t>
        </is>
      </c>
      <c r="Y1142" t="n">
        <v>897</v>
      </c>
      <c r="Z1142" t="n">
        <v>750</v>
      </c>
      <c r="AA1142" t="n">
        <v>760</v>
      </c>
      <c r="AB1142" t="n">
        <v>7</v>
      </c>
      <c r="AC1142" t="n">
        <v>7</v>
      </c>
      <c r="AD1142" t="n">
        <v>39</v>
      </c>
      <c r="AE1142" t="n">
        <v>39</v>
      </c>
      <c r="AF1142" t="n">
        <v>12</v>
      </c>
      <c r="AG1142" t="n">
        <v>12</v>
      </c>
      <c r="AH1142" t="n">
        <v>5</v>
      </c>
      <c r="AI1142" t="n">
        <v>5</v>
      </c>
      <c r="AJ1142" t="n">
        <v>16</v>
      </c>
      <c r="AK1142" t="n">
        <v>16</v>
      </c>
      <c r="AL1142" t="n">
        <v>3</v>
      </c>
      <c r="AM1142" t="n">
        <v>3</v>
      </c>
      <c r="AN1142" t="n">
        <v>9</v>
      </c>
      <c r="AO1142" t="n">
        <v>9</v>
      </c>
      <c r="AP1142" t="inlineStr">
        <is>
          <t>No</t>
        </is>
      </c>
      <c r="AQ1142" t="inlineStr">
        <is>
          <t>Yes</t>
        </is>
      </c>
      <c r="AR1142">
        <f>HYPERLINK("http://catalog.hathitrust.org/Record/001135122","HathiTrust Record")</f>
        <v/>
      </c>
      <c r="AS1142">
        <f>HYPERLINK("https://creighton-primo.hosted.exlibrisgroup.com/primo-explore/search?tab=default_tab&amp;search_scope=EVERYTHING&amp;vid=01CRU&amp;lang=en_US&amp;offset=0&amp;query=any,contains,991001703519702656","Catalog Record")</f>
        <v/>
      </c>
      <c r="AT1142">
        <f>HYPERLINK("http://www.worldcat.org/oclc/99759","WorldCat Record")</f>
        <v/>
      </c>
      <c r="AU1142" t="inlineStr">
        <is>
          <t>1334347:eng</t>
        </is>
      </c>
      <c r="AV1142" t="inlineStr">
        <is>
          <t>99759</t>
        </is>
      </c>
      <c r="AW1142" t="inlineStr">
        <is>
          <t>991001703519702656</t>
        </is>
      </c>
      <c r="AX1142" t="inlineStr">
        <is>
          <t>991001703519702656</t>
        </is>
      </c>
      <c r="AY1142" t="inlineStr">
        <is>
          <t>2268999480002656</t>
        </is>
      </c>
      <c r="AZ1142" t="inlineStr">
        <is>
          <t>BOOK</t>
        </is>
      </c>
      <c r="BB1142" t="inlineStr">
        <is>
          <t>9780262230421</t>
        </is>
      </c>
      <c r="BC1142" t="inlineStr">
        <is>
          <t>32285001809648</t>
        </is>
      </c>
      <c r="BD1142" t="inlineStr">
        <is>
          <t>893261914</t>
        </is>
      </c>
    </row>
    <row r="1143">
      <c r="A1143" t="inlineStr">
        <is>
          <t>No</t>
        </is>
      </c>
      <c r="B1143" t="inlineStr">
        <is>
          <t>HV8141 .W45</t>
        </is>
      </c>
      <c r="C1143" t="inlineStr">
        <is>
          <t>0                      HV 8141000W  45</t>
        </is>
      </c>
      <c r="D1143" t="inlineStr">
        <is>
          <t>The FBI story; a report to the people. Foreword by J. Edgar Hoover.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Whitehead, Don, 1908-1981.</t>
        </is>
      </c>
      <c r="L1143" t="inlineStr">
        <is>
          <t>New York, Random House [1956]</t>
        </is>
      </c>
      <c r="M1143" t="inlineStr">
        <is>
          <t>1956</t>
        </is>
      </c>
      <c r="O1143" t="inlineStr">
        <is>
          <t>eng</t>
        </is>
      </c>
      <c r="P1143" t="inlineStr">
        <is>
          <t>nyu</t>
        </is>
      </c>
      <c r="R1143" t="inlineStr">
        <is>
          <t xml:space="preserve">HV </t>
        </is>
      </c>
      <c r="S1143" t="n">
        <v>1</v>
      </c>
      <c r="T1143" t="n">
        <v>1</v>
      </c>
      <c r="U1143" t="inlineStr">
        <is>
          <t>1999-02-23</t>
        </is>
      </c>
      <c r="V1143" t="inlineStr">
        <is>
          <t>1999-02-23</t>
        </is>
      </c>
      <c r="W1143" t="inlineStr">
        <is>
          <t>1997-08-25</t>
        </is>
      </c>
      <c r="X1143" t="inlineStr">
        <is>
          <t>1997-08-25</t>
        </is>
      </c>
      <c r="Y1143" t="n">
        <v>1714</v>
      </c>
      <c r="Z1143" t="n">
        <v>1628</v>
      </c>
      <c r="AA1143" t="n">
        <v>1639</v>
      </c>
      <c r="AB1143" t="n">
        <v>14</v>
      </c>
      <c r="AC1143" t="n">
        <v>14</v>
      </c>
      <c r="AD1143" t="n">
        <v>60</v>
      </c>
      <c r="AE1143" t="n">
        <v>60</v>
      </c>
      <c r="AF1143" t="n">
        <v>21</v>
      </c>
      <c r="AG1143" t="n">
        <v>21</v>
      </c>
      <c r="AH1143" t="n">
        <v>9</v>
      </c>
      <c r="AI1143" t="n">
        <v>9</v>
      </c>
      <c r="AJ1143" t="n">
        <v>23</v>
      </c>
      <c r="AK1143" t="n">
        <v>23</v>
      </c>
      <c r="AL1143" t="n">
        <v>7</v>
      </c>
      <c r="AM1143" t="n">
        <v>7</v>
      </c>
      <c r="AN1143" t="n">
        <v>11</v>
      </c>
      <c r="AO1143" t="n">
        <v>11</v>
      </c>
      <c r="AP1143" t="inlineStr">
        <is>
          <t>No</t>
        </is>
      </c>
      <c r="AQ1143" t="inlineStr">
        <is>
          <t>Yes</t>
        </is>
      </c>
      <c r="AR1143">
        <f>HYPERLINK("http://catalog.hathitrust.org/Record/001135124","HathiTrust Record")</f>
        <v/>
      </c>
      <c r="AS1143">
        <f>HYPERLINK("https://creighton-primo.hosted.exlibrisgroup.com/primo-explore/search?tab=default_tab&amp;search_scope=EVERYTHING&amp;vid=01CRU&amp;lang=en_US&amp;offset=0&amp;query=any,contains,991003425829702656","Catalog Record")</f>
        <v/>
      </c>
      <c r="AT1143">
        <f>HYPERLINK("http://www.worldcat.org/oclc/964581","WorldCat Record")</f>
        <v/>
      </c>
      <c r="AU1143" t="inlineStr">
        <is>
          <t>4020143919:eng</t>
        </is>
      </c>
      <c r="AV1143" t="inlineStr">
        <is>
          <t>964581</t>
        </is>
      </c>
      <c r="AW1143" t="inlineStr">
        <is>
          <t>991003425829702656</t>
        </is>
      </c>
      <c r="AX1143" t="inlineStr">
        <is>
          <t>991003425829702656</t>
        </is>
      </c>
      <c r="AY1143" t="inlineStr">
        <is>
          <t>2261694820002656</t>
        </is>
      </c>
      <c r="AZ1143" t="inlineStr">
        <is>
          <t>BOOK</t>
        </is>
      </c>
      <c r="BC1143" t="inlineStr">
        <is>
          <t>32285003158945</t>
        </is>
      </c>
      <c r="BD1143" t="inlineStr">
        <is>
          <t>893881145</t>
        </is>
      </c>
    </row>
    <row r="1144">
      <c r="A1144" t="inlineStr">
        <is>
          <t>No</t>
        </is>
      </c>
      <c r="B1144" t="inlineStr">
        <is>
          <t>HV8143 .S43</t>
        </is>
      </c>
      <c r="C1144" t="inlineStr">
        <is>
          <t>0                      HV 8143000S  43</t>
        </is>
      </c>
      <c r="D1144" t="inlineStr">
        <is>
          <t>Police corruption; a sociological perspective, edited by Lawrence W. Sherman.</t>
        </is>
      </c>
      <c r="F1144" t="inlineStr">
        <is>
          <t>No</t>
        </is>
      </c>
      <c r="G1144" t="inlineStr">
        <is>
          <t>1</t>
        </is>
      </c>
      <c r="H1144" t="inlineStr">
        <is>
          <t>Yes</t>
        </is>
      </c>
      <c r="I1144" t="inlineStr">
        <is>
          <t>No</t>
        </is>
      </c>
      <c r="J1144" t="inlineStr">
        <is>
          <t>0</t>
        </is>
      </c>
      <c r="K1144" t="inlineStr">
        <is>
          <t>Sherman, Lawrence W. compiler.</t>
        </is>
      </c>
      <c r="L1144" t="inlineStr">
        <is>
          <t>Garden City, N.Y., Anchor Press, 1974.</t>
        </is>
      </c>
      <c r="M1144" t="inlineStr">
        <is>
          <t>1974</t>
        </is>
      </c>
      <c r="N1144" t="inlineStr">
        <is>
          <t>[1st ed.]</t>
        </is>
      </c>
      <c r="O1144" t="inlineStr">
        <is>
          <t>eng</t>
        </is>
      </c>
      <c r="P1144" t="inlineStr">
        <is>
          <t>nyu</t>
        </is>
      </c>
      <c r="R1144" t="inlineStr">
        <is>
          <t xml:space="preserve">HV </t>
        </is>
      </c>
      <c r="S1144" t="n">
        <v>7</v>
      </c>
      <c r="T1144" t="n">
        <v>7</v>
      </c>
      <c r="U1144" t="inlineStr">
        <is>
          <t>2007-04-11</t>
        </is>
      </c>
      <c r="V1144" t="inlineStr">
        <is>
          <t>2007-04-11</t>
        </is>
      </c>
      <c r="W1144" t="inlineStr">
        <is>
          <t>1997-08-25</t>
        </is>
      </c>
      <c r="X1144" t="inlineStr">
        <is>
          <t>1997-08-25</t>
        </is>
      </c>
      <c r="Y1144" t="n">
        <v>378</v>
      </c>
      <c r="Z1144" t="n">
        <v>312</v>
      </c>
      <c r="AA1144" t="n">
        <v>313</v>
      </c>
      <c r="AB1144" t="n">
        <v>4</v>
      </c>
      <c r="AC1144" t="n">
        <v>4</v>
      </c>
      <c r="AD1144" t="n">
        <v>16</v>
      </c>
      <c r="AE1144" t="n">
        <v>16</v>
      </c>
      <c r="AF1144" t="n">
        <v>6</v>
      </c>
      <c r="AG1144" t="n">
        <v>6</v>
      </c>
      <c r="AH1144" t="n">
        <v>4</v>
      </c>
      <c r="AI1144" t="n">
        <v>4</v>
      </c>
      <c r="AJ1144" t="n">
        <v>6</v>
      </c>
      <c r="AK1144" t="n">
        <v>6</v>
      </c>
      <c r="AL1144" t="n">
        <v>2</v>
      </c>
      <c r="AM1144" t="n">
        <v>2</v>
      </c>
      <c r="AN1144" t="n">
        <v>2</v>
      </c>
      <c r="AO1144" t="n">
        <v>2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HYPERLINK("https://creighton-primo.hosted.exlibrisgroup.com/primo-explore/search?tab=default_tab&amp;search_scope=EVERYTHING&amp;vid=01CRU&amp;lang=en_US&amp;offset=0&amp;query=any,contains,991001683949702656","Catalog Record")</f>
        <v/>
      </c>
      <c r="AT1144">
        <f>HYPERLINK("http://www.worldcat.org/oclc/827889","WorldCat Record")</f>
        <v/>
      </c>
      <c r="AU1144" t="inlineStr">
        <is>
          <t>364269976:eng</t>
        </is>
      </c>
      <c r="AV1144" t="inlineStr">
        <is>
          <t>827889</t>
        </is>
      </c>
      <c r="AW1144" t="inlineStr">
        <is>
          <t>991001683949702656</t>
        </is>
      </c>
      <c r="AX1144" t="inlineStr">
        <is>
          <t>991001683949702656</t>
        </is>
      </c>
      <c r="AY1144" t="inlineStr">
        <is>
          <t>2270608280002656</t>
        </is>
      </c>
      <c r="AZ1144" t="inlineStr">
        <is>
          <t>BOOK</t>
        </is>
      </c>
      <c r="BB1144" t="inlineStr">
        <is>
          <t>9780385030687</t>
        </is>
      </c>
      <c r="BC1144" t="inlineStr">
        <is>
          <t>32285003158952</t>
        </is>
      </c>
      <c r="BD1144" t="inlineStr">
        <is>
          <t>893315962</t>
        </is>
      </c>
    </row>
    <row r="1145">
      <c r="A1145" t="inlineStr">
        <is>
          <t>No</t>
        </is>
      </c>
      <c r="B1145" t="inlineStr">
        <is>
          <t>HV8144.F43 C37 2009</t>
        </is>
      </c>
      <c r="C1145" t="inlineStr">
        <is>
          <t>0                      HV 8144000F  43                 C  37          2009</t>
        </is>
      </c>
      <c r="D1145" t="inlineStr">
        <is>
          <t>From the bureau to the boardroom : 30 management lessons from the FBI / Dan Carrison.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Carrison, Dan.</t>
        </is>
      </c>
      <c r="L1145" t="inlineStr">
        <is>
          <t>New York : AMACOM, c2009.</t>
        </is>
      </c>
      <c r="M1145" t="inlineStr">
        <is>
          <t>2009</t>
        </is>
      </c>
      <c r="O1145" t="inlineStr">
        <is>
          <t>eng</t>
        </is>
      </c>
      <c r="P1145" t="inlineStr">
        <is>
          <t>nyu</t>
        </is>
      </c>
      <c r="R1145" t="inlineStr">
        <is>
          <t xml:space="preserve">HV </t>
        </is>
      </c>
      <c r="S1145" t="n">
        <v>1</v>
      </c>
      <c r="T1145" t="n">
        <v>1</v>
      </c>
      <c r="U1145" t="inlineStr">
        <is>
          <t>2009-01-19</t>
        </is>
      </c>
      <c r="V1145" t="inlineStr">
        <is>
          <t>2009-01-19</t>
        </is>
      </c>
      <c r="W1145" t="inlineStr">
        <is>
          <t>2009-01-19</t>
        </is>
      </c>
      <c r="X1145" t="inlineStr">
        <is>
          <t>2009-01-19</t>
        </is>
      </c>
      <c r="Y1145" t="n">
        <v>234</v>
      </c>
      <c r="Z1145" t="n">
        <v>208</v>
      </c>
      <c r="AA1145" t="n">
        <v>1121</v>
      </c>
      <c r="AB1145" t="n">
        <v>1</v>
      </c>
      <c r="AC1145" t="n">
        <v>27</v>
      </c>
      <c r="AD1145" t="n">
        <v>5</v>
      </c>
      <c r="AE1145" t="n">
        <v>34</v>
      </c>
      <c r="AF1145" t="n">
        <v>1</v>
      </c>
      <c r="AG1145" t="n">
        <v>8</v>
      </c>
      <c r="AH1145" t="n">
        <v>2</v>
      </c>
      <c r="AI1145" t="n">
        <v>6</v>
      </c>
      <c r="AJ1145" t="n">
        <v>4</v>
      </c>
      <c r="AK1145" t="n">
        <v>9</v>
      </c>
      <c r="AL1145" t="n">
        <v>0</v>
      </c>
      <c r="AM1145" t="n">
        <v>14</v>
      </c>
      <c r="AN1145" t="n">
        <v>0</v>
      </c>
      <c r="AO1145" t="n">
        <v>1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HYPERLINK("https://creighton-primo.hosted.exlibrisgroup.com/primo-explore/search?tab=default_tab&amp;search_scope=EVERYTHING&amp;vid=01CRU&amp;lang=en_US&amp;offset=0&amp;query=any,contains,991005290699702656","Catalog Record")</f>
        <v/>
      </c>
      <c r="AT1145">
        <f>HYPERLINK("http://www.worldcat.org/oclc/227033781","WorldCat Record")</f>
        <v/>
      </c>
      <c r="AU1145" t="inlineStr">
        <is>
          <t>799758977:eng</t>
        </is>
      </c>
      <c r="AV1145" t="inlineStr">
        <is>
          <t>227033781</t>
        </is>
      </c>
      <c r="AW1145" t="inlineStr">
        <is>
          <t>991005290699702656</t>
        </is>
      </c>
      <c r="AX1145" t="inlineStr">
        <is>
          <t>991005290699702656</t>
        </is>
      </c>
      <c r="AY1145" t="inlineStr">
        <is>
          <t>2260803930002656</t>
        </is>
      </c>
      <c r="AZ1145" t="inlineStr">
        <is>
          <t>BOOK</t>
        </is>
      </c>
      <c r="BB1145" t="inlineStr">
        <is>
          <t>9780814410639</t>
        </is>
      </c>
      <c r="BC1145" t="inlineStr">
        <is>
          <t>32285005479182</t>
        </is>
      </c>
      <c r="BD1145" t="inlineStr">
        <is>
          <t>893619753</t>
        </is>
      </c>
    </row>
    <row r="1146">
      <c r="A1146" t="inlineStr">
        <is>
          <t>No</t>
        </is>
      </c>
      <c r="B1146" t="inlineStr">
        <is>
          <t>HV8148.A7 R45 1981</t>
        </is>
      </c>
      <c r="C1146" t="inlineStr">
        <is>
          <t>0                      HV 8148000A  7                  R  45          1981</t>
        </is>
      </c>
      <c r="D1146" t="inlineStr">
        <is>
          <t>Policing, the occupation and the introduction of female officers : an anthropologist's study / Patricia W. Remmington.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Remmington, Patricia W. (Patricia Weiser)</t>
        </is>
      </c>
      <c r="L1146" t="inlineStr">
        <is>
          <t>Washington, D.C. : University Press of America, c1981.</t>
        </is>
      </c>
      <c r="M1146" t="inlineStr">
        <is>
          <t>1981</t>
        </is>
      </c>
      <c r="O1146" t="inlineStr">
        <is>
          <t>eng</t>
        </is>
      </c>
      <c r="P1146" t="inlineStr">
        <is>
          <t>dcu</t>
        </is>
      </c>
      <c r="R1146" t="inlineStr">
        <is>
          <t xml:space="preserve">HV </t>
        </is>
      </c>
      <c r="S1146" t="n">
        <v>7</v>
      </c>
      <c r="T1146" t="n">
        <v>7</v>
      </c>
      <c r="U1146" t="inlineStr">
        <is>
          <t>2002-01-17</t>
        </is>
      </c>
      <c r="V1146" t="inlineStr">
        <is>
          <t>2002-01-17</t>
        </is>
      </c>
      <c r="W1146" t="inlineStr">
        <is>
          <t>1992-07-14</t>
        </is>
      </c>
      <c r="X1146" t="inlineStr">
        <is>
          <t>1992-07-14</t>
        </is>
      </c>
      <c r="Y1146" t="n">
        <v>340</v>
      </c>
      <c r="Z1146" t="n">
        <v>320</v>
      </c>
      <c r="AA1146" t="n">
        <v>322</v>
      </c>
      <c r="AB1146" t="n">
        <v>4</v>
      </c>
      <c r="AC1146" t="n">
        <v>4</v>
      </c>
      <c r="AD1146" t="n">
        <v>15</v>
      </c>
      <c r="AE1146" t="n">
        <v>15</v>
      </c>
      <c r="AF1146" t="n">
        <v>7</v>
      </c>
      <c r="AG1146" t="n">
        <v>7</v>
      </c>
      <c r="AH1146" t="n">
        <v>3</v>
      </c>
      <c r="AI1146" t="n">
        <v>3</v>
      </c>
      <c r="AJ1146" t="n">
        <v>7</v>
      </c>
      <c r="AK1146" t="n">
        <v>7</v>
      </c>
      <c r="AL1146" t="n">
        <v>3</v>
      </c>
      <c r="AM1146" t="n">
        <v>3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HYPERLINK("http://catalog.hathitrust.org/Record/000770949","HathiTrust Record")</f>
        <v/>
      </c>
      <c r="AS1146">
        <f>HYPERLINK("https://creighton-primo.hosted.exlibrisgroup.com/primo-explore/search?tab=default_tab&amp;search_scope=EVERYTHING&amp;vid=01CRU&amp;lang=en_US&amp;offset=0&amp;query=any,contains,991005133019702656","Catalog Record")</f>
        <v/>
      </c>
      <c r="AT1146">
        <f>HYPERLINK("http://www.worldcat.org/oclc/7574165","WorldCat Record")</f>
        <v/>
      </c>
      <c r="AU1146" t="inlineStr">
        <is>
          <t>483242:eng</t>
        </is>
      </c>
      <c r="AV1146" t="inlineStr">
        <is>
          <t>7574165</t>
        </is>
      </c>
      <c r="AW1146" t="inlineStr">
        <is>
          <t>991005133019702656</t>
        </is>
      </c>
      <c r="AX1146" t="inlineStr">
        <is>
          <t>991005133019702656</t>
        </is>
      </c>
      <c r="AY1146" t="inlineStr">
        <is>
          <t>2271041250002656</t>
        </is>
      </c>
      <c r="AZ1146" t="inlineStr">
        <is>
          <t>BOOK</t>
        </is>
      </c>
      <c r="BB1146" t="inlineStr">
        <is>
          <t>9780819116468</t>
        </is>
      </c>
      <c r="BC1146" t="inlineStr">
        <is>
          <t>32285001182723</t>
        </is>
      </c>
      <c r="BD1146" t="inlineStr">
        <is>
          <t>893889723</t>
        </is>
      </c>
    </row>
    <row r="1147">
      <c r="A1147" t="inlineStr">
        <is>
          <t>No</t>
        </is>
      </c>
      <c r="B1147" t="inlineStr">
        <is>
          <t>HV8148.D4 B392 1971</t>
        </is>
      </c>
      <c r="C1147" t="inlineStr">
        <is>
          <t>0                      HV 8148000D  4                  B  392         1971</t>
        </is>
      </c>
      <c r="D1147" t="inlineStr">
        <is>
          <t>Minorities and the police ; confrontation in America / by David H. Bayley and Harold Mendelsohn.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K1147" t="inlineStr">
        <is>
          <t>Bayley, David H.</t>
        </is>
      </c>
      <c r="L1147" t="inlineStr">
        <is>
          <t>New York : Free Press [1971, c1968]</t>
        </is>
      </c>
      <c r="M1147" t="inlineStr">
        <is>
          <t>1971</t>
        </is>
      </c>
      <c r="O1147" t="inlineStr">
        <is>
          <t>eng</t>
        </is>
      </c>
      <c r="P1147" t="inlineStr">
        <is>
          <t>nyu</t>
        </is>
      </c>
      <c r="R1147" t="inlineStr">
        <is>
          <t xml:space="preserve">HV </t>
        </is>
      </c>
      <c r="S1147" t="n">
        <v>12</v>
      </c>
      <c r="T1147" t="n">
        <v>12</v>
      </c>
      <c r="U1147" t="inlineStr">
        <is>
          <t>2001-03-11</t>
        </is>
      </c>
      <c r="V1147" t="inlineStr">
        <is>
          <t>2001-03-11</t>
        </is>
      </c>
      <c r="W1147" t="inlineStr">
        <is>
          <t>1992-07-14</t>
        </is>
      </c>
      <c r="X1147" t="inlineStr">
        <is>
          <t>1992-07-14</t>
        </is>
      </c>
      <c r="Y1147" t="n">
        <v>921</v>
      </c>
      <c r="Z1147" t="n">
        <v>796</v>
      </c>
      <c r="AA1147" t="n">
        <v>841</v>
      </c>
      <c r="AB1147" t="n">
        <v>10</v>
      </c>
      <c r="AC1147" t="n">
        <v>10</v>
      </c>
      <c r="AD1147" t="n">
        <v>45</v>
      </c>
      <c r="AE1147" t="n">
        <v>48</v>
      </c>
      <c r="AF1147" t="n">
        <v>16</v>
      </c>
      <c r="AG1147" t="n">
        <v>18</v>
      </c>
      <c r="AH1147" t="n">
        <v>7</v>
      </c>
      <c r="AI1147" t="n">
        <v>9</v>
      </c>
      <c r="AJ1147" t="n">
        <v>16</v>
      </c>
      <c r="AK1147" t="n">
        <v>17</v>
      </c>
      <c r="AL1147" t="n">
        <v>7</v>
      </c>
      <c r="AM1147" t="n">
        <v>7</v>
      </c>
      <c r="AN1147" t="n">
        <v>8</v>
      </c>
      <c r="AO1147" t="n">
        <v>8</v>
      </c>
      <c r="AP1147" t="inlineStr">
        <is>
          <t>No</t>
        </is>
      </c>
      <c r="AQ1147" t="inlineStr">
        <is>
          <t>Yes</t>
        </is>
      </c>
      <c r="AR1147">
        <f>HYPERLINK("http://catalog.hathitrust.org/Record/001135152","HathiTrust Record")</f>
        <v/>
      </c>
      <c r="AS1147">
        <f>HYPERLINK("https://creighton-primo.hosted.exlibrisgroup.com/primo-explore/search?tab=default_tab&amp;search_scope=EVERYTHING&amp;vid=01CRU&amp;lang=en_US&amp;offset=0&amp;query=any,contains,991003941249702656","Catalog Record")</f>
        <v/>
      </c>
      <c r="AT1147">
        <f>HYPERLINK("http://www.worldcat.org/oclc/36116","WorldCat Record")</f>
        <v/>
      </c>
      <c r="AU1147" t="inlineStr">
        <is>
          <t>1199079:eng</t>
        </is>
      </c>
      <c r="AV1147" t="inlineStr">
        <is>
          <t>36116</t>
        </is>
      </c>
      <c r="AW1147" t="inlineStr">
        <is>
          <t>991003941249702656</t>
        </is>
      </c>
      <c r="AX1147" t="inlineStr">
        <is>
          <t>991003941249702656</t>
        </is>
      </c>
      <c r="AY1147" t="inlineStr">
        <is>
          <t>2268157680002656</t>
        </is>
      </c>
      <c r="AZ1147" t="inlineStr">
        <is>
          <t>BOOK</t>
        </is>
      </c>
      <c r="BC1147" t="inlineStr">
        <is>
          <t>32285001182731</t>
        </is>
      </c>
      <c r="BD1147" t="inlineStr">
        <is>
          <t>893900594</t>
        </is>
      </c>
    </row>
    <row r="1148">
      <c r="A1148" t="inlineStr">
        <is>
          <t>No</t>
        </is>
      </c>
      <c r="B1148" t="inlineStr">
        <is>
          <t>HV8148.H73 M37 1977</t>
        </is>
      </c>
      <c r="C1148" t="inlineStr">
        <is>
          <t>0                      HV 8148000H  73                 M  37          1977</t>
        </is>
      </c>
      <c r="D1148" t="inlineStr">
        <is>
          <t>The Houston Police, 1878-1948 / Louis J. Marchiafava.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K1148" t="inlineStr">
        <is>
          <t>Marchiafava, Louis J.</t>
        </is>
      </c>
      <c r="L1148" t="inlineStr">
        <is>
          <t>Houston, Tex. : William Marsh Rice University, 1977.</t>
        </is>
      </c>
      <c r="M1148" t="inlineStr">
        <is>
          <t>1977</t>
        </is>
      </c>
      <c r="O1148" t="inlineStr">
        <is>
          <t>eng</t>
        </is>
      </c>
      <c r="P1148" t="inlineStr">
        <is>
          <t>txu</t>
        </is>
      </c>
      <c r="Q1148" t="inlineStr">
        <is>
          <t>Rice University studies, 00354996 ; v. 63, no. 2</t>
        </is>
      </c>
      <c r="R1148" t="inlineStr">
        <is>
          <t xml:space="preserve">HV </t>
        </is>
      </c>
      <c r="S1148" t="n">
        <v>6</v>
      </c>
      <c r="T1148" t="n">
        <v>6</v>
      </c>
      <c r="U1148" t="inlineStr">
        <is>
          <t>2001-11-02</t>
        </is>
      </c>
      <c r="V1148" t="inlineStr">
        <is>
          <t>2001-11-02</t>
        </is>
      </c>
      <c r="W1148" t="inlineStr">
        <is>
          <t>1992-07-14</t>
        </is>
      </c>
      <c r="X1148" t="inlineStr">
        <is>
          <t>1992-07-14</t>
        </is>
      </c>
      <c r="Y1148" t="n">
        <v>88</v>
      </c>
      <c r="Z1148" t="n">
        <v>80</v>
      </c>
      <c r="AA1148" t="n">
        <v>80</v>
      </c>
      <c r="AB1148" t="n">
        <v>1</v>
      </c>
      <c r="AC1148" t="n">
        <v>1</v>
      </c>
      <c r="AD1148" t="n">
        <v>2</v>
      </c>
      <c r="AE1148" t="n">
        <v>2</v>
      </c>
      <c r="AF1148" t="n">
        <v>1</v>
      </c>
      <c r="AG1148" t="n">
        <v>1</v>
      </c>
      <c r="AH1148" t="n">
        <v>0</v>
      </c>
      <c r="AI1148" t="n">
        <v>0</v>
      </c>
      <c r="AJ1148" t="n">
        <v>1</v>
      </c>
      <c r="AK1148" t="n">
        <v>1</v>
      </c>
      <c r="AL1148" t="n">
        <v>0</v>
      </c>
      <c r="AM1148" t="n">
        <v>0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No</t>
        </is>
      </c>
      <c r="AS1148">
        <f>HYPERLINK("https://creighton-primo.hosted.exlibrisgroup.com/primo-explore/search?tab=default_tab&amp;search_scope=EVERYTHING&amp;vid=01CRU&amp;lang=en_US&amp;offset=0&amp;query=any,contains,991004428409702656","Catalog Record")</f>
        <v/>
      </c>
      <c r="AT1148">
        <f>HYPERLINK("http://www.worldcat.org/oclc/3413936","WorldCat Record")</f>
        <v/>
      </c>
      <c r="AU1148" t="inlineStr">
        <is>
          <t>9993615:eng</t>
        </is>
      </c>
      <c r="AV1148" t="inlineStr">
        <is>
          <t>3413936</t>
        </is>
      </c>
      <c r="AW1148" t="inlineStr">
        <is>
          <t>991004428409702656</t>
        </is>
      </c>
      <c r="AX1148" t="inlineStr">
        <is>
          <t>991004428409702656</t>
        </is>
      </c>
      <c r="AY1148" t="inlineStr">
        <is>
          <t>2261628220002656</t>
        </is>
      </c>
      <c r="AZ1148" t="inlineStr">
        <is>
          <t>BOOK</t>
        </is>
      </c>
      <c r="BB1148" t="inlineStr">
        <is>
          <t>9780892632329</t>
        </is>
      </c>
      <c r="BC1148" t="inlineStr">
        <is>
          <t>32285001182749</t>
        </is>
      </c>
      <c r="BD1148" t="inlineStr">
        <is>
          <t>893901229</t>
        </is>
      </c>
    </row>
    <row r="1149">
      <c r="A1149" t="inlineStr">
        <is>
          <t>No</t>
        </is>
      </c>
      <c r="B1149" t="inlineStr">
        <is>
          <t>HV8148.L55 B37 1999</t>
        </is>
      </c>
      <c r="C1149" t="inlineStr">
        <is>
          <t>0                      HV 8148000L  55                 B  37          1999</t>
        </is>
      </c>
      <c r="D1149" t="inlineStr">
        <is>
          <t>Danger, duty, and disillusion : the worldview of Los Angeles police officers / Joan C. Barker.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Barker, Joan C.</t>
        </is>
      </c>
      <c r="L1149" t="inlineStr">
        <is>
          <t>Prospect Heights, Ill. : Waveland Press, c1999.</t>
        </is>
      </c>
      <c r="M1149" t="inlineStr">
        <is>
          <t>1999</t>
        </is>
      </c>
      <c r="O1149" t="inlineStr">
        <is>
          <t>eng</t>
        </is>
      </c>
      <c r="P1149" t="inlineStr">
        <is>
          <t>ilu</t>
        </is>
      </c>
      <c r="R1149" t="inlineStr">
        <is>
          <t xml:space="preserve">HV </t>
        </is>
      </c>
      <c r="S1149" t="n">
        <v>5</v>
      </c>
      <c r="T1149" t="n">
        <v>5</v>
      </c>
      <c r="U1149" t="inlineStr">
        <is>
          <t>2010-04-12</t>
        </is>
      </c>
      <c r="V1149" t="inlineStr">
        <is>
          <t>2010-04-12</t>
        </is>
      </c>
      <c r="W1149" t="inlineStr">
        <is>
          <t>2000-02-23</t>
        </is>
      </c>
      <c r="X1149" t="inlineStr">
        <is>
          <t>2000-02-23</t>
        </is>
      </c>
      <c r="Y1149" t="n">
        <v>251</v>
      </c>
      <c r="Z1149" t="n">
        <v>232</v>
      </c>
      <c r="AA1149" t="n">
        <v>251</v>
      </c>
      <c r="AB1149" t="n">
        <v>3</v>
      </c>
      <c r="AC1149" t="n">
        <v>3</v>
      </c>
      <c r="AD1149" t="n">
        <v>12</v>
      </c>
      <c r="AE1149" t="n">
        <v>12</v>
      </c>
      <c r="AF1149" t="n">
        <v>5</v>
      </c>
      <c r="AG1149" t="n">
        <v>5</v>
      </c>
      <c r="AH1149" t="n">
        <v>3</v>
      </c>
      <c r="AI1149" t="n">
        <v>3</v>
      </c>
      <c r="AJ1149" t="n">
        <v>5</v>
      </c>
      <c r="AK1149" t="n">
        <v>5</v>
      </c>
      <c r="AL1149" t="n">
        <v>2</v>
      </c>
      <c r="AM1149" t="n">
        <v>2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No</t>
        </is>
      </c>
      <c r="AS1149">
        <f>HYPERLINK("https://creighton-primo.hosted.exlibrisgroup.com/primo-explore/search?tab=default_tab&amp;search_scope=EVERYTHING&amp;vid=01CRU&amp;lang=en_US&amp;offset=0&amp;query=any,contains,991002999179702656","Catalog Record")</f>
        <v/>
      </c>
      <c r="AT1149">
        <f>HYPERLINK("http://www.worldcat.org/oclc/40599661","WorldCat Record")</f>
        <v/>
      </c>
      <c r="AU1149" t="inlineStr">
        <is>
          <t>960887873:eng</t>
        </is>
      </c>
      <c r="AV1149" t="inlineStr">
        <is>
          <t>40599661</t>
        </is>
      </c>
      <c r="AW1149" t="inlineStr">
        <is>
          <t>991002999179702656</t>
        </is>
      </c>
      <c r="AX1149" t="inlineStr">
        <is>
          <t>991002999179702656</t>
        </is>
      </c>
      <c r="AY1149" t="inlineStr">
        <is>
          <t>2260708160002656</t>
        </is>
      </c>
      <c r="AZ1149" t="inlineStr">
        <is>
          <t>BOOK</t>
        </is>
      </c>
      <c r="BB1149" t="inlineStr">
        <is>
          <t>9781577660415</t>
        </is>
      </c>
      <c r="BC1149" t="inlineStr">
        <is>
          <t>32285003662979</t>
        </is>
      </c>
      <c r="BD1149" t="inlineStr">
        <is>
          <t>893809776</t>
        </is>
      </c>
    </row>
    <row r="1150">
      <c r="A1150" t="inlineStr">
        <is>
          <t>No</t>
        </is>
      </c>
      <c r="B1150" t="inlineStr">
        <is>
          <t>HV8148.L552 D58 1992</t>
        </is>
      </c>
      <c r="C1150" t="inlineStr">
        <is>
          <t>0                      HV 8148000L  552                D  58          1992</t>
        </is>
      </c>
      <c r="D1150" t="inlineStr">
        <is>
          <t>Diversity, affirmative action, and law enforcement / [edited] by George T. Felkenes and Peter Charles Unsinger.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Springfield, Ill., U.S.A. : Thomas, c1992.</t>
        </is>
      </c>
      <c r="M1150" t="inlineStr">
        <is>
          <t>1992</t>
        </is>
      </c>
      <c r="O1150" t="inlineStr">
        <is>
          <t>eng</t>
        </is>
      </c>
      <c r="P1150" t="inlineStr">
        <is>
          <t>ilu</t>
        </is>
      </c>
      <c r="R1150" t="inlineStr">
        <is>
          <t xml:space="preserve">HV </t>
        </is>
      </c>
      <c r="S1150" t="n">
        <v>10</v>
      </c>
      <c r="T1150" t="n">
        <v>10</v>
      </c>
      <c r="U1150" t="inlineStr">
        <is>
          <t>2007-11-08</t>
        </is>
      </c>
      <c r="V1150" t="inlineStr">
        <is>
          <t>2007-11-08</t>
        </is>
      </c>
      <c r="W1150" t="inlineStr">
        <is>
          <t>1992-09-28</t>
        </is>
      </c>
      <c r="X1150" t="inlineStr">
        <is>
          <t>1992-09-28</t>
        </is>
      </c>
      <c r="Y1150" t="n">
        <v>191</v>
      </c>
      <c r="Z1150" t="n">
        <v>170</v>
      </c>
      <c r="AA1150" t="n">
        <v>171</v>
      </c>
      <c r="AB1150" t="n">
        <v>3</v>
      </c>
      <c r="AC1150" t="n">
        <v>3</v>
      </c>
      <c r="AD1150" t="n">
        <v>7</v>
      </c>
      <c r="AE1150" t="n">
        <v>7</v>
      </c>
      <c r="AF1150" t="n">
        <v>1</v>
      </c>
      <c r="AG1150" t="n">
        <v>1</v>
      </c>
      <c r="AH1150" t="n">
        <v>2</v>
      </c>
      <c r="AI1150" t="n">
        <v>2</v>
      </c>
      <c r="AJ1150" t="n">
        <v>4</v>
      </c>
      <c r="AK1150" t="n">
        <v>4</v>
      </c>
      <c r="AL1150" t="n">
        <v>2</v>
      </c>
      <c r="AM1150" t="n">
        <v>2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Yes</t>
        </is>
      </c>
      <c r="AR1150">
        <f>HYPERLINK("http://catalog.hathitrust.org/Record/008316359","HathiTrust Record")</f>
        <v/>
      </c>
      <c r="AS1150">
        <f>HYPERLINK("https://creighton-primo.hosted.exlibrisgroup.com/primo-explore/search?tab=default_tab&amp;search_scope=EVERYTHING&amp;vid=01CRU&amp;lang=en_US&amp;offset=0&amp;query=any,contains,991001976519702656","Catalog Record")</f>
        <v/>
      </c>
      <c r="AT1150">
        <f>HYPERLINK("http://www.worldcat.org/oclc/25050373","WorldCat Record")</f>
        <v/>
      </c>
      <c r="AU1150" t="inlineStr">
        <is>
          <t>26214899:eng</t>
        </is>
      </c>
      <c r="AV1150" t="inlineStr">
        <is>
          <t>25050373</t>
        </is>
      </c>
      <c r="AW1150" t="inlineStr">
        <is>
          <t>991001976519702656</t>
        </is>
      </c>
      <c r="AX1150" t="inlineStr">
        <is>
          <t>991001976519702656</t>
        </is>
      </c>
      <c r="AY1150" t="inlineStr">
        <is>
          <t>2269441450002656</t>
        </is>
      </c>
      <c r="AZ1150" t="inlineStr">
        <is>
          <t>BOOK</t>
        </is>
      </c>
      <c r="BB1150" t="inlineStr">
        <is>
          <t>9780398057770</t>
        </is>
      </c>
      <c r="BC1150" t="inlineStr">
        <is>
          <t>32285001289296</t>
        </is>
      </c>
      <c r="BD1150" t="inlineStr">
        <is>
          <t>893603053</t>
        </is>
      </c>
    </row>
    <row r="1151">
      <c r="A1151" t="inlineStr">
        <is>
          <t>No</t>
        </is>
      </c>
      <c r="B1151" t="inlineStr">
        <is>
          <t>HV8148.N5 B5</t>
        </is>
      </c>
      <c r="C1151" t="inlineStr">
        <is>
          <t>0                      HV 8148000N  5                  B  5</t>
        </is>
      </c>
      <c r="D1151" t="inlineStr">
        <is>
          <t>The people and the police / by Algernon D. Black.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K1151" t="inlineStr">
        <is>
          <t>Black, Algernon D. (Algernon David), 1900-1993.</t>
        </is>
      </c>
      <c r="L1151" t="inlineStr">
        <is>
          <t>New York : McGraw-Hill, [1968]</t>
        </is>
      </c>
      <c r="M1151" t="inlineStr">
        <is>
          <t>1968</t>
        </is>
      </c>
      <c r="O1151" t="inlineStr">
        <is>
          <t>eng</t>
        </is>
      </c>
      <c r="P1151" t="inlineStr">
        <is>
          <t>nyu</t>
        </is>
      </c>
      <c r="R1151" t="inlineStr">
        <is>
          <t xml:space="preserve">HV </t>
        </is>
      </c>
      <c r="S1151" t="n">
        <v>5</v>
      </c>
      <c r="T1151" t="n">
        <v>5</v>
      </c>
      <c r="U1151" t="inlineStr">
        <is>
          <t>1999-02-13</t>
        </is>
      </c>
      <c r="V1151" t="inlineStr">
        <is>
          <t>1999-02-13</t>
        </is>
      </c>
      <c r="W1151" t="inlineStr">
        <is>
          <t>1993-09-29</t>
        </is>
      </c>
      <c r="X1151" t="inlineStr">
        <is>
          <t>1993-09-29</t>
        </is>
      </c>
      <c r="Y1151" t="n">
        <v>645</v>
      </c>
      <c r="Z1151" t="n">
        <v>598</v>
      </c>
      <c r="AA1151" t="n">
        <v>669</v>
      </c>
      <c r="AB1151" t="n">
        <v>6</v>
      </c>
      <c r="AC1151" t="n">
        <v>6</v>
      </c>
      <c r="AD1151" t="n">
        <v>28</v>
      </c>
      <c r="AE1151" t="n">
        <v>31</v>
      </c>
      <c r="AF1151" t="n">
        <v>8</v>
      </c>
      <c r="AG1151" t="n">
        <v>8</v>
      </c>
      <c r="AH1151" t="n">
        <v>4</v>
      </c>
      <c r="AI1151" t="n">
        <v>5</v>
      </c>
      <c r="AJ1151" t="n">
        <v>10</v>
      </c>
      <c r="AK1151" t="n">
        <v>12</v>
      </c>
      <c r="AL1151" t="n">
        <v>4</v>
      </c>
      <c r="AM1151" t="n">
        <v>4</v>
      </c>
      <c r="AN1151" t="n">
        <v>8</v>
      </c>
      <c r="AO1151" t="n">
        <v>9</v>
      </c>
      <c r="AP1151" t="inlineStr">
        <is>
          <t>No</t>
        </is>
      </c>
      <c r="AQ1151" t="inlineStr">
        <is>
          <t>Yes</t>
        </is>
      </c>
      <c r="AR1151">
        <f>HYPERLINK("http://catalog.hathitrust.org/Record/001135155","HathiTrust Record")</f>
        <v/>
      </c>
      <c r="AS1151">
        <f>HYPERLINK("https://creighton-primo.hosted.exlibrisgroup.com/primo-explore/search?tab=default_tab&amp;search_scope=EVERYTHING&amp;vid=01CRU&amp;lang=en_US&amp;offset=0&amp;query=any,contains,991002095679702656","Catalog Record")</f>
        <v/>
      </c>
      <c r="AT1151">
        <f>HYPERLINK("http://www.worldcat.org/oclc/265539","WorldCat Record")</f>
        <v/>
      </c>
      <c r="AU1151" t="inlineStr">
        <is>
          <t>144110284:eng</t>
        </is>
      </c>
      <c r="AV1151" t="inlineStr">
        <is>
          <t>265539</t>
        </is>
      </c>
      <c r="AW1151" t="inlineStr">
        <is>
          <t>991002095679702656</t>
        </is>
      </c>
      <c r="AX1151" t="inlineStr">
        <is>
          <t>991002095679702656</t>
        </is>
      </c>
      <c r="AY1151" t="inlineStr">
        <is>
          <t>2267819110002656</t>
        </is>
      </c>
      <c r="AZ1151" t="inlineStr">
        <is>
          <t>BOOK</t>
        </is>
      </c>
      <c r="BC1151" t="inlineStr">
        <is>
          <t>32285001771392</t>
        </is>
      </c>
      <c r="BD1151" t="inlineStr">
        <is>
          <t>893809304</t>
        </is>
      </c>
    </row>
    <row r="1152">
      <c r="A1152" t="inlineStr">
        <is>
          <t>No</t>
        </is>
      </c>
      <c r="B1152" t="inlineStr">
        <is>
          <t>HV8148.N5 C45</t>
        </is>
      </c>
      <c r="C1152" t="inlineStr">
        <is>
          <t>0                      HV 8148000N  5                  C  45</t>
        </is>
      </c>
      <c r="D1152" t="inlineStr">
        <is>
          <t>Police power : police abuses in New York City.</t>
        </is>
      </c>
      <c r="F1152" t="inlineStr">
        <is>
          <t>No</t>
        </is>
      </c>
      <c r="G1152" t="inlineStr">
        <is>
          <t>1</t>
        </is>
      </c>
      <c r="H1152" t="inlineStr">
        <is>
          <t>Yes</t>
        </is>
      </c>
      <c r="I1152" t="inlineStr">
        <is>
          <t>No</t>
        </is>
      </c>
      <c r="J1152" t="inlineStr">
        <is>
          <t>0</t>
        </is>
      </c>
      <c r="K1152" t="inlineStr">
        <is>
          <t>Chevigny, Paul, 1935-</t>
        </is>
      </c>
      <c r="L1152" t="inlineStr">
        <is>
          <t>New York : Pantheon Books, [1969]</t>
        </is>
      </c>
      <c r="M1152" t="inlineStr">
        <is>
          <t>1969</t>
        </is>
      </c>
      <c r="O1152" t="inlineStr">
        <is>
          <t>eng</t>
        </is>
      </c>
      <c r="P1152" t="inlineStr">
        <is>
          <t>nyu</t>
        </is>
      </c>
      <c r="R1152" t="inlineStr">
        <is>
          <t xml:space="preserve">HV </t>
        </is>
      </c>
      <c r="S1152" t="n">
        <v>2</v>
      </c>
      <c r="T1152" t="n">
        <v>2</v>
      </c>
      <c r="U1152" t="inlineStr">
        <is>
          <t>1999-02-13</t>
        </is>
      </c>
      <c r="V1152" t="inlineStr">
        <is>
          <t>1999-02-13</t>
        </is>
      </c>
      <c r="W1152" t="inlineStr">
        <is>
          <t>1994-04-29</t>
        </is>
      </c>
      <c r="X1152" t="inlineStr">
        <is>
          <t>1994-04-29</t>
        </is>
      </c>
      <c r="Y1152" t="n">
        <v>827</v>
      </c>
      <c r="Z1152" t="n">
        <v>760</v>
      </c>
      <c r="AA1152" t="n">
        <v>815</v>
      </c>
      <c r="AB1152" t="n">
        <v>10</v>
      </c>
      <c r="AC1152" t="n">
        <v>10</v>
      </c>
      <c r="AD1152" t="n">
        <v>40</v>
      </c>
      <c r="AE1152" t="n">
        <v>44</v>
      </c>
      <c r="AF1152" t="n">
        <v>12</v>
      </c>
      <c r="AG1152" t="n">
        <v>15</v>
      </c>
      <c r="AH1152" t="n">
        <v>4</v>
      </c>
      <c r="AI1152" t="n">
        <v>4</v>
      </c>
      <c r="AJ1152" t="n">
        <v>12</v>
      </c>
      <c r="AK1152" t="n">
        <v>13</v>
      </c>
      <c r="AL1152" t="n">
        <v>7</v>
      </c>
      <c r="AM1152" t="n">
        <v>7</v>
      </c>
      <c r="AN1152" t="n">
        <v>11</v>
      </c>
      <c r="AO1152" t="n">
        <v>12</v>
      </c>
      <c r="AP1152" t="inlineStr">
        <is>
          <t>No</t>
        </is>
      </c>
      <c r="AQ1152" t="inlineStr">
        <is>
          <t>Yes</t>
        </is>
      </c>
      <c r="AR1152">
        <f>HYPERLINK("http://catalog.hathitrust.org/Record/001135156","HathiTrust Record")</f>
        <v/>
      </c>
      <c r="AS1152">
        <f>HYPERLINK("https://creighton-primo.hosted.exlibrisgroup.com/primo-explore/search?tab=default_tab&amp;search_scope=EVERYTHING&amp;vid=01CRU&amp;lang=en_US&amp;offset=0&amp;query=any,contains,991001812629702656","Catalog Record")</f>
        <v/>
      </c>
      <c r="AT1152">
        <f>HYPERLINK("http://www.worldcat.org/oclc/242789","WorldCat Record")</f>
        <v/>
      </c>
      <c r="AU1152" t="inlineStr">
        <is>
          <t>198862334:eng</t>
        </is>
      </c>
      <c r="AV1152" t="inlineStr">
        <is>
          <t>242789</t>
        </is>
      </c>
      <c r="AW1152" t="inlineStr">
        <is>
          <t>991001812629702656</t>
        </is>
      </c>
      <c r="AX1152" t="inlineStr">
        <is>
          <t>991001812629702656</t>
        </is>
      </c>
      <c r="AY1152" t="inlineStr">
        <is>
          <t>2269557660002656</t>
        </is>
      </c>
      <c r="AZ1152" t="inlineStr">
        <is>
          <t>BOOK</t>
        </is>
      </c>
      <c r="BC1152" t="inlineStr">
        <is>
          <t>32285001894822</t>
        </is>
      </c>
      <c r="BD1152" t="inlineStr">
        <is>
          <t>893433158</t>
        </is>
      </c>
    </row>
    <row r="1153">
      <c r="A1153" t="inlineStr">
        <is>
          <t>No</t>
        </is>
      </c>
      <c r="B1153" t="inlineStr">
        <is>
          <t>HV8148.N52 A46</t>
        </is>
      </c>
      <c r="C1153" t="inlineStr">
        <is>
          <t>0                      HV 8148000N  52                 A  46</t>
        </is>
      </c>
      <c r="D1153" t="inlineStr">
        <is>
          <t>The Knapp Commission report on police corruption.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New York (N.Y.). Knapp Commission.</t>
        </is>
      </c>
      <c r="L1153" t="inlineStr">
        <is>
          <t>New York, G. Braziller [1973?]</t>
        </is>
      </c>
      <c r="M1153" t="inlineStr">
        <is>
          <t>1973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HV </t>
        </is>
      </c>
      <c r="S1153" t="n">
        <v>1</v>
      </c>
      <c r="T1153" t="n">
        <v>1</v>
      </c>
      <c r="U1153" t="inlineStr">
        <is>
          <t>2004-03-22</t>
        </is>
      </c>
      <c r="V1153" t="inlineStr">
        <is>
          <t>2004-03-22</t>
        </is>
      </c>
      <c r="W1153" t="inlineStr">
        <is>
          <t>1997-08-25</t>
        </is>
      </c>
      <c r="X1153" t="inlineStr">
        <is>
          <t>1997-08-25</t>
        </is>
      </c>
      <c r="Y1153" t="n">
        <v>807</v>
      </c>
      <c r="Z1153" t="n">
        <v>746</v>
      </c>
      <c r="AA1153" t="n">
        <v>753</v>
      </c>
      <c r="AB1153" t="n">
        <v>8</v>
      </c>
      <c r="AC1153" t="n">
        <v>8</v>
      </c>
      <c r="AD1153" t="n">
        <v>44</v>
      </c>
      <c r="AE1153" t="n">
        <v>44</v>
      </c>
      <c r="AF1153" t="n">
        <v>14</v>
      </c>
      <c r="AG1153" t="n">
        <v>14</v>
      </c>
      <c r="AH1153" t="n">
        <v>4</v>
      </c>
      <c r="AI1153" t="n">
        <v>4</v>
      </c>
      <c r="AJ1153" t="n">
        <v>15</v>
      </c>
      <c r="AK1153" t="n">
        <v>15</v>
      </c>
      <c r="AL1153" t="n">
        <v>6</v>
      </c>
      <c r="AM1153" t="n">
        <v>6</v>
      </c>
      <c r="AN1153" t="n">
        <v>9</v>
      </c>
      <c r="AO1153" t="n">
        <v>9</v>
      </c>
      <c r="AP1153" t="inlineStr">
        <is>
          <t>No</t>
        </is>
      </c>
      <c r="AQ1153" t="inlineStr">
        <is>
          <t>Yes</t>
        </is>
      </c>
      <c r="AR1153">
        <f>HYPERLINK("http://catalog.hathitrust.org/Record/001135163","HathiTrust Record")</f>
        <v/>
      </c>
      <c r="AS1153">
        <f>HYPERLINK("https://creighton-primo.hosted.exlibrisgroup.com/primo-explore/search?tab=default_tab&amp;search_scope=EVERYTHING&amp;vid=01CRU&amp;lang=en_US&amp;offset=0&amp;query=any,contains,991003075939702656","Catalog Record")</f>
        <v/>
      </c>
      <c r="AT1153">
        <f>HYPERLINK("http://www.worldcat.org/oclc/628474","WorldCat Record")</f>
        <v/>
      </c>
      <c r="AU1153" t="inlineStr">
        <is>
          <t>148704646:eng</t>
        </is>
      </c>
      <c r="AV1153" t="inlineStr">
        <is>
          <t>628474</t>
        </is>
      </c>
      <c r="AW1153" t="inlineStr">
        <is>
          <t>991003075939702656</t>
        </is>
      </c>
      <c r="AX1153" t="inlineStr">
        <is>
          <t>991003075939702656</t>
        </is>
      </c>
      <c r="AY1153" t="inlineStr">
        <is>
          <t>2269416910002656</t>
        </is>
      </c>
      <c r="AZ1153" t="inlineStr">
        <is>
          <t>BOOK</t>
        </is>
      </c>
      <c r="BB1153" t="inlineStr">
        <is>
          <t>9780807606889</t>
        </is>
      </c>
      <c r="BC1153" t="inlineStr">
        <is>
          <t>32285003158978</t>
        </is>
      </c>
      <c r="BD1153" t="inlineStr">
        <is>
          <t>893887112</t>
        </is>
      </c>
    </row>
    <row r="1154">
      <c r="A1154" t="inlineStr">
        <is>
          <t>No</t>
        </is>
      </c>
      <c r="B1154" t="inlineStr">
        <is>
          <t>HV8148.N52 J63 2003</t>
        </is>
      </c>
      <c r="C1154" t="inlineStr">
        <is>
          <t>0                      HV 8148000N  52                 J  63          2003</t>
        </is>
      </c>
      <c r="D1154" t="inlineStr">
        <is>
          <t>Street justice : a history of police violence in New York City / Marilynn Johnson.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K1154" t="inlineStr">
        <is>
          <t>Johnson, Marilynn S.</t>
        </is>
      </c>
      <c r="L1154" t="inlineStr">
        <is>
          <t>Boston, Mass. : Beacon Press, c2003.</t>
        </is>
      </c>
      <c r="M1154" t="inlineStr">
        <is>
          <t>2003</t>
        </is>
      </c>
      <c r="O1154" t="inlineStr">
        <is>
          <t>eng</t>
        </is>
      </c>
      <c r="P1154" t="inlineStr">
        <is>
          <t>mau</t>
        </is>
      </c>
      <c r="R1154" t="inlineStr">
        <is>
          <t xml:space="preserve">HV </t>
        </is>
      </c>
      <c r="S1154" t="n">
        <v>2</v>
      </c>
      <c r="T1154" t="n">
        <v>2</v>
      </c>
      <c r="U1154" t="inlineStr">
        <is>
          <t>2005-04-11</t>
        </is>
      </c>
      <c r="V1154" t="inlineStr">
        <is>
          <t>2005-04-11</t>
        </is>
      </c>
      <c r="W1154" t="inlineStr">
        <is>
          <t>2005-04-11</t>
        </is>
      </c>
      <c r="X1154" t="inlineStr">
        <is>
          <t>2005-04-11</t>
        </is>
      </c>
      <c r="Y1154" t="n">
        <v>690</v>
      </c>
      <c r="Z1154" t="n">
        <v>644</v>
      </c>
      <c r="AA1154" t="n">
        <v>649</v>
      </c>
      <c r="AB1154" t="n">
        <v>2</v>
      </c>
      <c r="AC1154" t="n">
        <v>2</v>
      </c>
      <c r="AD1154" t="n">
        <v>28</v>
      </c>
      <c r="AE1154" t="n">
        <v>28</v>
      </c>
      <c r="AF1154" t="n">
        <v>11</v>
      </c>
      <c r="AG1154" t="n">
        <v>11</v>
      </c>
      <c r="AH1154" t="n">
        <v>5</v>
      </c>
      <c r="AI1154" t="n">
        <v>5</v>
      </c>
      <c r="AJ1154" t="n">
        <v>18</v>
      </c>
      <c r="AK1154" t="n">
        <v>18</v>
      </c>
      <c r="AL1154" t="n">
        <v>1</v>
      </c>
      <c r="AM1154" t="n">
        <v>1</v>
      </c>
      <c r="AN1154" t="n">
        <v>2</v>
      </c>
      <c r="AO1154" t="n">
        <v>2</v>
      </c>
      <c r="AP1154" t="inlineStr">
        <is>
          <t>No</t>
        </is>
      </c>
      <c r="AQ1154" t="inlineStr">
        <is>
          <t>No</t>
        </is>
      </c>
      <c r="AS1154">
        <f>HYPERLINK("https://creighton-primo.hosted.exlibrisgroup.com/primo-explore/search?tab=default_tab&amp;search_scope=EVERYTHING&amp;vid=01CRU&amp;lang=en_US&amp;offset=0&amp;query=any,contains,991004497989702656","Catalog Record")</f>
        <v/>
      </c>
      <c r="AT1154">
        <f>HYPERLINK("http://www.worldcat.org/oclc/52514365","WorldCat Record")</f>
        <v/>
      </c>
      <c r="AU1154" t="inlineStr">
        <is>
          <t>785859:eng</t>
        </is>
      </c>
      <c r="AV1154" t="inlineStr">
        <is>
          <t>52514365</t>
        </is>
      </c>
      <c r="AW1154" t="inlineStr">
        <is>
          <t>991004497989702656</t>
        </is>
      </c>
      <c r="AX1154" t="inlineStr">
        <is>
          <t>991004497989702656</t>
        </is>
      </c>
      <c r="AY1154" t="inlineStr">
        <is>
          <t>2264122400002656</t>
        </is>
      </c>
      <c r="AZ1154" t="inlineStr">
        <is>
          <t>BOOK</t>
        </is>
      </c>
      <c r="BB1154" t="inlineStr">
        <is>
          <t>9780807050224</t>
        </is>
      </c>
      <c r="BC1154" t="inlineStr">
        <is>
          <t>32285005049290</t>
        </is>
      </c>
      <c r="BD1154" t="inlineStr">
        <is>
          <t>893513304</t>
        </is>
      </c>
    </row>
    <row r="1155">
      <c r="A1155" t="inlineStr">
        <is>
          <t>No</t>
        </is>
      </c>
      <c r="B1155" t="inlineStr">
        <is>
          <t>HV8148.N52 K67</t>
        </is>
      </c>
      <c r="C1155" t="inlineStr">
        <is>
          <t>0                      HV 8148000N  52                 K  67</t>
        </is>
      </c>
      <c r="D1155" t="inlineStr">
        <is>
          <t>The moral hazards : police strategies for honesty and ethical behavior / Allan N. Kornblum.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K1155" t="inlineStr">
        <is>
          <t>Kornblum, Allan N.</t>
        </is>
      </c>
      <c r="L1155" t="inlineStr">
        <is>
          <t>Lexington, Mass. : Lexington Books, c1976.</t>
        </is>
      </c>
      <c r="M1155" t="inlineStr">
        <is>
          <t>1976</t>
        </is>
      </c>
      <c r="O1155" t="inlineStr">
        <is>
          <t>eng</t>
        </is>
      </c>
      <c r="P1155" t="inlineStr">
        <is>
          <t>mau</t>
        </is>
      </c>
      <c r="R1155" t="inlineStr">
        <is>
          <t xml:space="preserve">HV </t>
        </is>
      </c>
      <c r="S1155" t="n">
        <v>1</v>
      </c>
      <c r="T1155" t="n">
        <v>1</v>
      </c>
      <c r="U1155" t="inlineStr">
        <is>
          <t>2005-03-09</t>
        </is>
      </c>
      <c r="V1155" t="inlineStr">
        <is>
          <t>2005-03-09</t>
        </is>
      </c>
      <c r="W1155" t="inlineStr">
        <is>
          <t>1994-04-12</t>
        </is>
      </c>
      <c r="X1155" t="inlineStr">
        <is>
          <t>1994-04-12</t>
        </is>
      </c>
      <c r="Y1155" t="n">
        <v>360</v>
      </c>
      <c r="Z1155" t="n">
        <v>319</v>
      </c>
      <c r="AA1155" t="n">
        <v>325</v>
      </c>
      <c r="AB1155" t="n">
        <v>4</v>
      </c>
      <c r="AC1155" t="n">
        <v>4</v>
      </c>
      <c r="AD1155" t="n">
        <v>16</v>
      </c>
      <c r="AE1155" t="n">
        <v>16</v>
      </c>
      <c r="AF1155" t="n">
        <v>5</v>
      </c>
      <c r="AG1155" t="n">
        <v>5</v>
      </c>
      <c r="AH1155" t="n">
        <v>3</v>
      </c>
      <c r="AI1155" t="n">
        <v>3</v>
      </c>
      <c r="AJ1155" t="n">
        <v>8</v>
      </c>
      <c r="AK1155" t="n">
        <v>8</v>
      </c>
      <c r="AL1155" t="n">
        <v>3</v>
      </c>
      <c r="AM1155" t="n">
        <v>3</v>
      </c>
      <c r="AN1155" t="n">
        <v>2</v>
      </c>
      <c r="AO1155" t="n">
        <v>2</v>
      </c>
      <c r="AP1155" t="inlineStr">
        <is>
          <t>No</t>
        </is>
      </c>
      <c r="AQ1155" t="inlineStr">
        <is>
          <t>Yes</t>
        </is>
      </c>
      <c r="AR1155">
        <f>HYPERLINK("http://catalog.hathitrust.org/Record/009507839","HathiTrust Record")</f>
        <v/>
      </c>
      <c r="AS1155">
        <f>HYPERLINK("https://creighton-primo.hosted.exlibrisgroup.com/primo-explore/search?tab=default_tab&amp;search_scope=EVERYTHING&amp;vid=01CRU&amp;lang=en_US&amp;offset=0&amp;query=any,contains,991003914759702656","Catalog Record")</f>
        <v/>
      </c>
      <c r="AT1155">
        <f>HYPERLINK("http://www.worldcat.org/oclc/1858380","WorldCat Record")</f>
        <v/>
      </c>
      <c r="AU1155" t="inlineStr">
        <is>
          <t>796707886:eng</t>
        </is>
      </c>
      <c r="AV1155" t="inlineStr">
        <is>
          <t>1858380</t>
        </is>
      </c>
      <c r="AW1155" t="inlineStr">
        <is>
          <t>991003914759702656</t>
        </is>
      </c>
      <c r="AX1155" t="inlineStr">
        <is>
          <t>991003914759702656</t>
        </is>
      </c>
      <c r="AY1155" t="inlineStr">
        <is>
          <t>2266801550002656</t>
        </is>
      </c>
      <c r="AZ1155" t="inlineStr">
        <is>
          <t>BOOK</t>
        </is>
      </c>
      <c r="BB1155" t="inlineStr">
        <is>
          <t>9780669003789</t>
        </is>
      </c>
      <c r="BC1155" t="inlineStr">
        <is>
          <t>32285001886240</t>
        </is>
      </c>
      <c r="BD1155" t="inlineStr">
        <is>
          <t>893535709</t>
        </is>
      </c>
    </row>
    <row r="1156">
      <c r="A1156" t="inlineStr">
        <is>
          <t>No</t>
        </is>
      </c>
      <c r="B1156" t="inlineStr">
        <is>
          <t>HV8160.A2 H84 1998</t>
        </is>
      </c>
      <c r="C1156" t="inlineStr">
        <is>
          <t>0                      HV 8160000A  2                  H  84          1998</t>
        </is>
      </c>
      <c r="D1156" t="inlineStr">
        <is>
          <t>Political policing : the United States and Latin America / Martha K. Huggins.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Huggins, Martha Knisely, 1944-</t>
        </is>
      </c>
      <c r="L1156" t="inlineStr">
        <is>
          <t>Durham, N.C. : Duke University Press, 1998.</t>
        </is>
      </c>
      <c r="M1156" t="inlineStr">
        <is>
          <t>1998</t>
        </is>
      </c>
      <c r="O1156" t="inlineStr">
        <is>
          <t>eng</t>
        </is>
      </c>
      <c r="P1156" t="inlineStr">
        <is>
          <t>ncu</t>
        </is>
      </c>
      <c r="R1156" t="inlineStr">
        <is>
          <t xml:space="preserve">HV </t>
        </is>
      </c>
      <c r="S1156" t="n">
        <v>2</v>
      </c>
      <c r="T1156" t="n">
        <v>2</v>
      </c>
      <c r="U1156" t="inlineStr">
        <is>
          <t>2009-03-12</t>
        </is>
      </c>
      <c r="V1156" t="inlineStr">
        <is>
          <t>2009-03-12</t>
        </is>
      </c>
      <c r="W1156" t="inlineStr">
        <is>
          <t>2000-03-14</t>
        </is>
      </c>
      <c r="X1156" t="inlineStr">
        <is>
          <t>2000-03-14</t>
        </is>
      </c>
      <c r="Y1156" t="n">
        <v>539</v>
      </c>
      <c r="Z1156" t="n">
        <v>450</v>
      </c>
      <c r="AA1156" t="n">
        <v>452</v>
      </c>
      <c r="AB1156" t="n">
        <v>4</v>
      </c>
      <c r="AC1156" t="n">
        <v>4</v>
      </c>
      <c r="AD1156" t="n">
        <v>27</v>
      </c>
      <c r="AE1156" t="n">
        <v>27</v>
      </c>
      <c r="AF1156" t="n">
        <v>11</v>
      </c>
      <c r="AG1156" t="n">
        <v>11</v>
      </c>
      <c r="AH1156" t="n">
        <v>5</v>
      </c>
      <c r="AI1156" t="n">
        <v>5</v>
      </c>
      <c r="AJ1156" t="n">
        <v>13</v>
      </c>
      <c r="AK1156" t="n">
        <v>13</v>
      </c>
      <c r="AL1156" t="n">
        <v>3</v>
      </c>
      <c r="AM1156" t="n">
        <v>3</v>
      </c>
      <c r="AN1156" t="n">
        <v>1</v>
      </c>
      <c r="AO1156" t="n">
        <v>1</v>
      </c>
      <c r="AP1156" t="inlineStr">
        <is>
          <t>No</t>
        </is>
      </c>
      <c r="AQ1156" t="inlineStr">
        <is>
          <t>Yes</t>
        </is>
      </c>
      <c r="AR1156">
        <f>HYPERLINK("http://catalog.hathitrust.org/Record/003982383","HathiTrust Record")</f>
        <v/>
      </c>
      <c r="AS1156">
        <f>HYPERLINK("https://creighton-primo.hosted.exlibrisgroup.com/primo-explore/search?tab=default_tab&amp;search_scope=EVERYTHING&amp;vid=01CRU&amp;lang=en_US&amp;offset=0&amp;query=any,contains,991002896459702656","Catalog Record")</f>
        <v/>
      </c>
      <c r="AT1156">
        <f>HYPERLINK("http://www.worldcat.org/oclc/38162868","WorldCat Record")</f>
        <v/>
      </c>
      <c r="AU1156" t="inlineStr">
        <is>
          <t>626585:eng</t>
        </is>
      </c>
      <c r="AV1156" t="inlineStr">
        <is>
          <t>38162868</t>
        </is>
      </c>
      <c r="AW1156" t="inlineStr">
        <is>
          <t>991002896459702656</t>
        </is>
      </c>
      <c r="AX1156" t="inlineStr">
        <is>
          <t>991002896459702656</t>
        </is>
      </c>
      <c r="AY1156" t="inlineStr">
        <is>
          <t>2269255650002656</t>
        </is>
      </c>
      <c r="AZ1156" t="inlineStr">
        <is>
          <t>BOOK</t>
        </is>
      </c>
      <c r="BB1156" t="inlineStr">
        <is>
          <t>9780822321590</t>
        </is>
      </c>
      <c r="BC1156" t="inlineStr">
        <is>
          <t>32285003669578</t>
        </is>
      </c>
      <c r="BD1156" t="inlineStr">
        <is>
          <t>893874149</t>
        </is>
      </c>
    </row>
    <row r="1157">
      <c r="A1157" t="inlineStr">
        <is>
          <t>No</t>
        </is>
      </c>
      <c r="B1157" t="inlineStr">
        <is>
          <t>HV8183 .C59</t>
        </is>
      </c>
      <c r="C1157" t="inlineStr">
        <is>
          <t>0                      HV 8183000C  59</t>
        </is>
      </c>
      <c r="D1157" t="inlineStr">
        <is>
          <t>Process and impact of justice / Alan R. Coffey, Edward Eldefonso.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Coffey, Alan.</t>
        </is>
      </c>
      <c r="L1157" t="inlineStr">
        <is>
          <t>Beverly Hills, Calif. : Glencoe Press, c1975.</t>
        </is>
      </c>
      <c r="M1157" t="inlineStr">
        <is>
          <t>1975</t>
        </is>
      </c>
      <c r="O1157" t="inlineStr">
        <is>
          <t>eng</t>
        </is>
      </c>
      <c r="P1157" t="inlineStr">
        <is>
          <t>cau</t>
        </is>
      </c>
      <c r="Q1157" t="inlineStr">
        <is>
          <t>Glencoe Press criminal justice series</t>
        </is>
      </c>
      <c r="R1157" t="inlineStr">
        <is>
          <t xml:space="preserve">HV </t>
        </is>
      </c>
      <c r="S1157" t="n">
        <v>1</v>
      </c>
      <c r="T1157" t="n">
        <v>1</v>
      </c>
      <c r="U1157" t="inlineStr">
        <is>
          <t>1998-12-09</t>
        </is>
      </c>
      <c r="V1157" t="inlineStr">
        <is>
          <t>1998-12-09</t>
        </is>
      </c>
      <c r="W1157" t="inlineStr">
        <is>
          <t>1997-08-25</t>
        </is>
      </c>
      <c r="X1157" t="inlineStr">
        <is>
          <t>1997-08-25</t>
        </is>
      </c>
      <c r="Y1157" t="n">
        <v>411</v>
      </c>
      <c r="Z1157" t="n">
        <v>377</v>
      </c>
      <c r="AA1157" t="n">
        <v>378</v>
      </c>
      <c r="AB1157" t="n">
        <v>3</v>
      </c>
      <c r="AC1157" t="n">
        <v>3</v>
      </c>
      <c r="AD1157" t="n">
        <v>15</v>
      </c>
      <c r="AE1157" t="n">
        <v>15</v>
      </c>
      <c r="AF1157" t="n">
        <v>3</v>
      </c>
      <c r="AG1157" t="n">
        <v>3</v>
      </c>
      <c r="AH1157" t="n">
        <v>3</v>
      </c>
      <c r="AI1157" t="n">
        <v>3</v>
      </c>
      <c r="AJ1157" t="n">
        <v>5</v>
      </c>
      <c r="AK1157" t="n">
        <v>5</v>
      </c>
      <c r="AL1157" t="n">
        <v>2</v>
      </c>
      <c r="AM1157" t="n">
        <v>2</v>
      </c>
      <c r="AN1157" t="n">
        <v>4</v>
      </c>
      <c r="AO1157" t="n">
        <v>4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HYPERLINK("http://catalog.hathitrust.org/Record/000027703","HathiTrust Record")</f>
        <v/>
      </c>
      <c r="AS1157">
        <f>HYPERLINK("https://creighton-primo.hosted.exlibrisgroup.com/primo-explore/search?tab=default_tab&amp;search_scope=EVERYTHING&amp;vid=01CRU&amp;lang=en_US&amp;offset=0&amp;query=any,contains,991003849719702656","Catalog Record")</f>
        <v/>
      </c>
      <c r="AT1157">
        <f>HYPERLINK("http://www.worldcat.org/oclc/1637706","WorldCat Record")</f>
        <v/>
      </c>
      <c r="AU1157" t="inlineStr">
        <is>
          <t>2496866:eng</t>
        </is>
      </c>
      <c r="AV1157" t="inlineStr">
        <is>
          <t>1637706</t>
        </is>
      </c>
      <c r="AW1157" t="inlineStr">
        <is>
          <t>991003849719702656</t>
        </is>
      </c>
      <c r="AX1157" t="inlineStr">
        <is>
          <t>991003849719702656</t>
        </is>
      </c>
      <c r="AY1157" t="inlineStr">
        <is>
          <t>2260819020002656</t>
        </is>
      </c>
      <c r="AZ1157" t="inlineStr">
        <is>
          <t>BOOK</t>
        </is>
      </c>
      <c r="BC1157" t="inlineStr">
        <is>
          <t>32285003159000</t>
        </is>
      </c>
      <c r="BD1157" t="inlineStr">
        <is>
          <t>893718144</t>
        </is>
      </c>
    </row>
    <row r="1158">
      <c r="A1158" t="inlineStr">
        <is>
          <t>No</t>
        </is>
      </c>
      <c r="B1158" t="inlineStr">
        <is>
          <t>HV819.A45 E876 2003</t>
        </is>
      </c>
      <c r="C1158" t="inlineStr">
        <is>
          <t>0                      HV 0819000A  45                 E  876         2003</t>
        </is>
      </c>
      <c r="D1158" t="inlineStr">
        <is>
          <t>The politics of EU police cooperation : toward a European FBI? / John D. Occhipinti.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Occhipinti, John D., 1967-</t>
        </is>
      </c>
      <c r="L1158" t="inlineStr">
        <is>
          <t>Boulder, Colo. : L. Rienner, 2003.</t>
        </is>
      </c>
      <c r="M1158" t="inlineStr">
        <is>
          <t>2003</t>
        </is>
      </c>
      <c r="O1158" t="inlineStr">
        <is>
          <t>eng</t>
        </is>
      </c>
      <c r="P1158" t="inlineStr">
        <is>
          <t>cou</t>
        </is>
      </c>
      <c r="R1158" t="inlineStr">
        <is>
          <t xml:space="preserve">HV </t>
        </is>
      </c>
      <c r="S1158" t="n">
        <v>1</v>
      </c>
      <c r="T1158" t="n">
        <v>1</v>
      </c>
      <c r="U1158" t="inlineStr">
        <is>
          <t>2003-10-16</t>
        </is>
      </c>
      <c r="V1158" t="inlineStr">
        <is>
          <t>2003-10-16</t>
        </is>
      </c>
      <c r="W1158" t="inlineStr">
        <is>
          <t>2003-09-23</t>
        </is>
      </c>
      <c r="X1158" t="inlineStr">
        <is>
          <t>2003-09-23</t>
        </is>
      </c>
      <c r="Y1158" t="n">
        <v>229</v>
      </c>
      <c r="Z1158" t="n">
        <v>155</v>
      </c>
      <c r="AA1158" t="n">
        <v>155</v>
      </c>
      <c r="AB1158" t="n">
        <v>2</v>
      </c>
      <c r="AC1158" t="n">
        <v>2</v>
      </c>
      <c r="AD1158" t="n">
        <v>6</v>
      </c>
      <c r="AE1158" t="n">
        <v>6</v>
      </c>
      <c r="AF1158" t="n">
        <v>1</v>
      </c>
      <c r="AG1158" t="n">
        <v>1</v>
      </c>
      <c r="AH1158" t="n">
        <v>2</v>
      </c>
      <c r="AI1158" t="n">
        <v>2</v>
      </c>
      <c r="AJ1158" t="n">
        <v>4</v>
      </c>
      <c r="AK1158" t="n">
        <v>4</v>
      </c>
      <c r="AL1158" t="n">
        <v>1</v>
      </c>
      <c r="AM1158" t="n">
        <v>1</v>
      </c>
      <c r="AN1158" t="n">
        <v>1</v>
      </c>
      <c r="AO1158" t="n">
        <v>1</v>
      </c>
      <c r="AP1158" t="inlineStr">
        <is>
          <t>No</t>
        </is>
      </c>
      <c r="AQ1158" t="inlineStr">
        <is>
          <t>No</t>
        </is>
      </c>
      <c r="AS1158">
        <f>HYPERLINK("https://creighton-primo.hosted.exlibrisgroup.com/primo-explore/search?tab=default_tab&amp;search_scope=EVERYTHING&amp;vid=01CRU&amp;lang=en_US&amp;offset=0&amp;query=any,contains,991004131909702656","Catalog Record")</f>
        <v/>
      </c>
      <c r="AT1158">
        <f>HYPERLINK("http://www.worldcat.org/oclc/51234928","WorldCat Record")</f>
        <v/>
      </c>
      <c r="AU1158" t="inlineStr">
        <is>
          <t>798075:eng</t>
        </is>
      </c>
      <c r="AV1158" t="inlineStr">
        <is>
          <t>51234928</t>
        </is>
      </c>
      <c r="AW1158" t="inlineStr">
        <is>
          <t>991004131909702656</t>
        </is>
      </c>
      <c r="AX1158" t="inlineStr">
        <is>
          <t>991004131909702656</t>
        </is>
      </c>
      <c r="AY1158" t="inlineStr">
        <is>
          <t>2272641620002656</t>
        </is>
      </c>
      <c r="AZ1158" t="inlineStr">
        <is>
          <t>BOOK</t>
        </is>
      </c>
      <c r="BB1158" t="inlineStr">
        <is>
          <t>9781588261182</t>
        </is>
      </c>
      <c r="BC1158" t="inlineStr">
        <is>
          <t>32285004789342</t>
        </is>
      </c>
      <c r="BD1158" t="inlineStr">
        <is>
          <t>893788319</t>
        </is>
      </c>
    </row>
    <row r="1159">
      <c r="A1159" t="inlineStr">
        <is>
          <t>No</t>
        </is>
      </c>
      <c r="B1159" t="inlineStr">
        <is>
          <t>HV8195 .O97 1991</t>
        </is>
      </c>
      <c r="C1159" t="inlineStr">
        <is>
          <t>0                      HV 8195000O  97          1991</t>
        </is>
      </c>
      <c r="D1159" t="inlineStr">
        <is>
          <t>Out of order? : policing black people / edited by Ellis Cashmore and Eugene McLaughlin.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L1159" t="inlineStr">
        <is>
          <t>London ; New York : Routledge, 1991.</t>
        </is>
      </c>
      <c r="M1159" t="inlineStr">
        <is>
          <t>1991</t>
        </is>
      </c>
      <c r="O1159" t="inlineStr">
        <is>
          <t>eng</t>
        </is>
      </c>
      <c r="P1159" t="inlineStr">
        <is>
          <t>enk</t>
        </is>
      </c>
      <c r="R1159" t="inlineStr">
        <is>
          <t xml:space="preserve">HV </t>
        </is>
      </c>
      <c r="S1159" t="n">
        <v>14</v>
      </c>
      <c r="T1159" t="n">
        <v>14</v>
      </c>
      <c r="U1159" t="inlineStr">
        <is>
          <t>2001-03-11</t>
        </is>
      </c>
      <c r="V1159" t="inlineStr">
        <is>
          <t>2001-03-11</t>
        </is>
      </c>
      <c r="W1159" t="inlineStr">
        <is>
          <t>1992-04-02</t>
        </is>
      </c>
      <c r="X1159" t="inlineStr">
        <is>
          <t>1992-04-02</t>
        </is>
      </c>
      <c r="Y1159" t="n">
        <v>474</v>
      </c>
      <c r="Z1159" t="n">
        <v>332</v>
      </c>
      <c r="AA1159" t="n">
        <v>353</v>
      </c>
      <c r="AB1159" t="n">
        <v>2</v>
      </c>
      <c r="AC1159" t="n">
        <v>2</v>
      </c>
      <c r="AD1159" t="n">
        <v>22</v>
      </c>
      <c r="AE1159" t="n">
        <v>22</v>
      </c>
      <c r="AF1159" t="n">
        <v>7</v>
      </c>
      <c r="AG1159" t="n">
        <v>7</v>
      </c>
      <c r="AH1159" t="n">
        <v>6</v>
      </c>
      <c r="AI1159" t="n">
        <v>6</v>
      </c>
      <c r="AJ1159" t="n">
        <v>8</v>
      </c>
      <c r="AK1159" t="n">
        <v>8</v>
      </c>
      <c r="AL1159" t="n">
        <v>1</v>
      </c>
      <c r="AM1159" t="n">
        <v>1</v>
      </c>
      <c r="AN1159" t="n">
        <v>3</v>
      </c>
      <c r="AO1159" t="n">
        <v>3</v>
      </c>
      <c r="AP1159" t="inlineStr">
        <is>
          <t>No</t>
        </is>
      </c>
      <c r="AQ1159" t="inlineStr">
        <is>
          <t>No</t>
        </is>
      </c>
      <c r="AS1159">
        <f>HYPERLINK("https://creighton-primo.hosted.exlibrisgroup.com/primo-explore/search?tab=default_tab&amp;search_scope=EVERYTHING&amp;vid=01CRU&amp;lang=en_US&amp;offset=0&amp;query=any,contains,991001823119702656","Catalog Record")</f>
        <v/>
      </c>
      <c r="AT1159">
        <f>HYPERLINK("http://www.worldcat.org/oclc/22907018","WorldCat Record")</f>
        <v/>
      </c>
      <c r="AU1159" t="inlineStr">
        <is>
          <t>836789154:eng</t>
        </is>
      </c>
      <c r="AV1159" t="inlineStr">
        <is>
          <t>22907018</t>
        </is>
      </c>
      <c r="AW1159" t="inlineStr">
        <is>
          <t>991001823119702656</t>
        </is>
      </c>
      <c r="AX1159" t="inlineStr">
        <is>
          <t>991001823119702656</t>
        </is>
      </c>
      <c r="AY1159" t="inlineStr">
        <is>
          <t>2263982100002656</t>
        </is>
      </c>
      <c r="AZ1159" t="inlineStr">
        <is>
          <t>BOOK</t>
        </is>
      </c>
      <c r="BB1159" t="inlineStr">
        <is>
          <t>9780415037266</t>
        </is>
      </c>
      <c r="BC1159" t="inlineStr">
        <is>
          <t>32285001008092</t>
        </is>
      </c>
      <c r="BD1159" t="inlineStr">
        <is>
          <t>893621653</t>
        </is>
      </c>
    </row>
    <row r="1160">
      <c r="A1160" t="inlineStr">
        <is>
          <t>No</t>
        </is>
      </c>
      <c r="B1160" t="inlineStr">
        <is>
          <t>HV8210.5.A2 K64 1999</t>
        </is>
      </c>
      <c r="C1160" t="inlineStr">
        <is>
          <t>0                      HV 8210500A  2                  K  64          1999</t>
        </is>
      </c>
      <c r="D1160" t="inlineStr">
        <is>
          <t>Stasi : the untold story of the East German secret police / John O. Koehler.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Koehler, John O.</t>
        </is>
      </c>
      <c r="L1160" t="inlineStr">
        <is>
          <t>Boulder, Colo. : Westview Press, 1999.</t>
        </is>
      </c>
      <c r="M1160" t="inlineStr">
        <is>
          <t>1999</t>
        </is>
      </c>
      <c r="O1160" t="inlineStr">
        <is>
          <t>eng</t>
        </is>
      </c>
      <c r="P1160" t="inlineStr">
        <is>
          <t>cou</t>
        </is>
      </c>
      <c r="R1160" t="inlineStr">
        <is>
          <t xml:space="preserve">HV </t>
        </is>
      </c>
      <c r="S1160" t="n">
        <v>6</v>
      </c>
      <c r="T1160" t="n">
        <v>6</v>
      </c>
      <c r="U1160" t="inlineStr">
        <is>
          <t>2009-10-29</t>
        </is>
      </c>
      <c r="V1160" t="inlineStr">
        <is>
          <t>2009-10-29</t>
        </is>
      </c>
      <c r="W1160" t="inlineStr">
        <is>
          <t>1999-02-10</t>
        </is>
      </c>
      <c r="X1160" t="inlineStr">
        <is>
          <t>1999-02-10</t>
        </is>
      </c>
      <c r="Y1160" t="n">
        <v>743</v>
      </c>
      <c r="Z1160" t="n">
        <v>602</v>
      </c>
      <c r="AA1160" t="n">
        <v>651</v>
      </c>
      <c r="AB1160" t="n">
        <v>5</v>
      </c>
      <c r="AC1160" t="n">
        <v>5</v>
      </c>
      <c r="AD1160" t="n">
        <v>26</v>
      </c>
      <c r="AE1160" t="n">
        <v>26</v>
      </c>
      <c r="AF1160" t="n">
        <v>12</v>
      </c>
      <c r="AG1160" t="n">
        <v>12</v>
      </c>
      <c r="AH1160" t="n">
        <v>6</v>
      </c>
      <c r="AI1160" t="n">
        <v>6</v>
      </c>
      <c r="AJ1160" t="n">
        <v>15</v>
      </c>
      <c r="AK1160" t="n">
        <v>15</v>
      </c>
      <c r="AL1160" t="n">
        <v>3</v>
      </c>
      <c r="AM1160" t="n">
        <v>3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No</t>
        </is>
      </c>
      <c r="AS1160">
        <f>HYPERLINK("https://creighton-primo.hosted.exlibrisgroup.com/primo-explore/search?tab=default_tab&amp;search_scope=EVERYTHING&amp;vid=01CRU&amp;lang=en_US&amp;offset=0&amp;query=any,contains,991002946869702656","Catalog Record")</f>
        <v/>
      </c>
      <c r="AT1160">
        <f>HYPERLINK("http://www.worldcat.org/oclc/39256274","WorldCat Record")</f>
        <v/>
      </c>
      <c r="AU1160" t="inlineStr">
        <is>
          <t>8670805:eng</t>
        </is>
      </c>
      <c r="AV1160" t="inlineStr">
        <is>
          <t>39256274</t>
        </is>
      </c>
      <c r="AW1160" t="inlineStr">
        <is>
          <t>991002946869702656</t>
        </is>
      </c>
      <c r="AX1160" t="inlineStr">
        <is>
          <t>991002946869702656</t>
        </is>
      </c>
      <c r="AY1160" t="inlineStr">
        <is>
          <t>2261106870002656</t>
        </is>
      </c>
      <c r="AZ1160" t="inlineStr">
        <is>
          <t>BOOK</t>
        </is>
      </c>
      <c r="BB1160" t="inlineStr">
        <is>
          <t>9780813334097</t>
        </is>
      </c>
      <c r="BC1160" t="inlineStr">
        <is>
          <t>32285003518676</t>
        </is>
      </c>
      <c r="BD1160" t="inlineStr">
        <is>
          <t>893793145</t>
        </is>
      </c>
    </row>
    <row r="1161">
      <c r="A1161" t="inlineStr">
        <is>
          <t>No</t>
        </is>
      </c>
      <c r="B1161" t="inlineStr">
        <is>
          <t>HV8210.B4 G56 2000</t>
        </is>
      </c>
      <c r="C1161" t="inlineStr">
        <is>
          <t>0                      HV 8210000B  4                  G  56          2000</t>
        </is>
      </c>
      <c r="D1161" t="inlineStr">
        <is>
          <t>Divided in unity : identity, Germany, and the Berlin police / Andreas Glaeser.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Glaeser, Andreas.</t>
        </is>
      </c>
      <c r="L1161" t="inlineStr">
        <is>
          <t>Chicago : University of Chicago Press, 2000.</t>
        </is>
      </c>
      <c r="M1161" t="inlineStr">
        <is>
          <t>2000</t>
        </is>
      </c>
      <c r="O1161" t="inlineStr">
        <is>
          <t>eng</t>
        </is>
      </c>
      <c r="P1161" t="inlineStr">
        <is>
          <t>ilu</t>
        </is>
      </c>
      <c r="R1161" t="inlineStr">
        <is>
          <t xml:space="preserve">HV </t>
        </is>
      </c>
      <c r="S1161" t="n">
        <v>2</v>
      </c>
      <c r="T1161" t="n">
        <v>2</v>
      </c>
      <c r="U1161" t="inlineStr">
        <is>
          <t>2000-10-26</t>
        </is>
      </c>
      <c r="V1161" t="inlineStr">
        <is>
          <t>2000-10-26</t>
        </is>
      </c>
      <c r="W1161" t="inlineStr">
        <is>
          <t>2000-10-26</t>
        </is>
      </c>
      <c r="X1161" t="inlineStr">
        <is>
          <t>2000-10-26</t>
        </is>
      </c>
      <c r="Y1161" t="n">
        <v>275</v>
      </c>
      <c r="Z1161" t="n">
        <v>217</v>
      </c>
      <c r="AA1161" t="n">
        <v>218</v>
      </c>
      <c r="AB1161" t="n">
        <v>2</v>
      </c>
      <c r="AC1161" t="n">
        <v>2</v>
      </c>
      <c r="AD1161" t="n">
        <v>11</v>
      </c>
      <c r="AE1161" t="n">
        <v>11</v>
      </c>
      <c r="AF1161" t="n">
        <v>3</v>
      </c>
      <c r="AG1161" t="n">
        <v>3</v>
      </c>
      <c r="AH1161" t="n">
        <v>4</v>
      </c>
      <c r="AI1161" t="n">
        <v>4</v>
      </c>
      <c r="AJ1161" t="n">
        <v>8</v>
      </c>
      <c r="AK1161" t="n">
        <v>8</v>
      </c>
      <c r="AL1161" t="n">
        <v>1</v>
      </c>
      <c r="AM1161" t="n">
        <v>1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No</t>
        </is>
      </c>
      <c r="AS1161">
        <f>HYPERLINK("https://creighton-primo.hosted.exlibrisgroup.com/primo-explore/search?tab=default_tab&amp;search_scope=EVERYTHING&amp;vid=01CRU&amp;lang=en_US&amp;offset=0&amp;query=any,contains,991003283559702656","Catalog Record")</f>
        <v/>
      </c>
      <c r="AT1161">
        <f>HYPERLINK("http://www.worldcat.org/oclc/41516480","WorldCat Record")</f>
        <v/>
      </c>
      <c r="AU1161" t="inlineStr">
        <is>
          <t>795218730:eng</t>
        </is>
      </c>
      <c r="AV1161" t="inlineStr">
        <is>
          <t>41516480</t>
        </is>
      </c>
      <c r="AW1161" t="inlineStr">
        <is>
          <t>991003283559702656</t>
        </is>
      </c>
      <c r="AX1161" t="inlineStr">
        <is>
          <t>991003283559702656</t>
        </is>
      </c>
      <c r="AY1161" t="inlineStr">
        <is>
          <t>2257833030002656</t>
        </is>
      </c>
      <c r="AZ1161" t="inlineStr">
        <is>
          <t>BOOK</t>
        </is>
      </c>
      <c r="BB1161" t="inlineStr">
        <is>
          <t>9780226297835</t>
        </is>
      </c>
      <c r="BC1161" t="inlineStr">
        <is>
          <t>32285004261334</t>
        </is>
      </c>
      <c r="BD1161" t="inlineStr">
        <is>
          <t>893410126</t>
        </is>
      </c>
    </row>
    <row r="1162">
      <c r="A1162" t="inlineStr">
        <is>
          <t>No</t>
        </is>
      </c>
      <c r="B1162" t="inlineStr">
        <is>
          <t>HV8212 .N56 1995</t>
        </is>
      </c>
      <c r="C1162" t="inlineStr">
        <is>
          <t>0                      HV 8212000N  56          1995</t>
        </is>
      </c>
      <c r="D1162" t="inlineStr">
        <is>
          <t>Public order in ancient Rome / Wilfried Nippel.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Nippel, Wilfried.</t>
        </is>
      </c>
      <c r="L1162" t="inlineStr">
        <is>
          <t>Cambridge ; New York : Cambridge University Press, 1995.</t>
        </is>
      </c>
      <c r="M1162" t="inlineStr">
        <is>
          <t>1995</t>
        </is>
      </c>
      <c r="O1162" t="inlineStr">
        <is>
          <t>eng</t>
        </is>
      </c>
      <c r="P1162" t="inlineStr">
        <is>
          <t>enk</t>
        </is>
      </c>
      <c r="Q1162" t="inlineStr">
        <is>
          <t>Key themes in ancient history</t>
        </is>
      </c>
      <c r="R1162" t="inlineStr">
        <is>
          <t xml:space="preserve">HV </t>
        </is>
      </c>
      <c r="S1162" t="n">
        <v>4</v>
      </c>
      <c r="T1162" t="n">
        <v>4</v>
      </c>
      <c r="U1162" t="inlineStr">
        <is>
          <t>2005-04-13</t>
        </is>
      </c>
      <c r="V1162" t="inlineStr">
        <is>
          <t>2005-04-13</t>
        </is>
      </c>
      <c r="W1162" t="inlineStr">
        <is>
          <t>2003-04-15</t>
        </is>
      </c>
      <c r="X1162" t="inlineStr">
        <is>
          <t>2003-04-15</t>
        </is>
      </c>
      <c r="Y1162" t="n">
        <v>472</v>
      </c>
      <c r="Z1162" t="n">
        <v>326</v>
      </c>
      <c r="AA1162" t="n">
        <v>332</v>
      </c>
      <c r="AB1162" t="n">
        <v>3</v>
      </c>
      <c r="AC1162" t="n">
        <v>3</v>
      </c>
      <c r="AD1162" t="n">
        <v>24</v>
      </c>
      <c r="AE1162" t="n">
        <v>24</v>
      </c>
      <c r="AF1162" t="n">
        <v>11</v>
      </c>
      <c r="AG1162" t="n">
        <v>11</v>
      </c>
      <c r="AH1162" t="n">
        <v>5</v>
      </c>
      <c r="AI1162" t="n">
        <v>5</v>
      </c>
      <c r="AJ1162" t="n">
        <v>11</v>
      </c>
      <c r="AK1162" t="n">
        <v>11</v>
      </c>
      <c r="AL1162" t="n">
        <v>2</v>
      </c>
      <c r="AM1162" t="n">
        <v>2</v>
      </c>
      <c r="AN1162" t="n">
        <v>1</v>
      </c>
      <c r="AO1162" t="n">
        <v>1</v>
      </c>
      <c r="AP1162" t="inlineStr">
        <is>
          <t>No</t>
        </is>
      </c>
      <c r="AQ1162" t="inlineStr">
        <is>
          <t>No</t>
        </is>
      </c>
      <c r="AS1162">
        <f>HYPERLINK("https://creighton-primo.hosted.exlibrisgroup.com/primo-explore/search?tab=default_tab&amp;search_scope=EVERYTHING&amp;vid=01CRU&amp;lang=en_US&amp;offset=0&amp;query=any,contains,991004016779702656","Catalog Record")</f>
        <v/>
      </c>
      <c r="AT1162">
        <f>HYPERLINK("http://www.worldcat.org/oclc/31660299","WorldCat Record")</f>
        <v/>
      </c>
      <c r="AU1162" t="inlineStr">
        <is>
          <t>1067776:eng</t>
        </is>
      </c>
      <c r="AV1162" t="inlineStr">
        <is>
          <t>31660299</t>
        </is>
      </c>
      <c r="AW1162" t="inlineStr">
        <is>
          <t>991004016779702656</t>
        </is>
      </c>
      <c r="AX1162" t="inlineStr">
        <is>
          <t>991004016779702656</t>
        </is>
      </c>
      <c r="AY1162" t="inlineStr">
        <is>
          <t>2254998720002656</t>
        </is>
      </c>
      <c r="AZ1162" t="inlineStr">
        <is>
          <t>BOOK</t>
        </is>
      </c>
      <c r="BB1162" t="inlineStr">
        <is>
          <t>9780521383271</t>
        </is>
      </c>
      <c r="BC1162" t="inlineStr">
        <is>
          <t>32285004742556</t>
        </is>
      </c>
      <c r="BD1162" t="inlineStr">
        <is>
          <t>893417126</t>
        </is>
      </c>
    </row>
    <row r="1163">
      <c r="A1163" t="inlineStr">
        <is>
          <t>No</t>
        </is>
      </c>
      <c r="B1163" t="inlineStr">
        <is>
          <t>HV8224 .C6</t>
        </is>
      </c>
      <c r="C1163" t="inlineStr">
        <is>
          <t>0                      HV 8224000C  6</t>
        </is>
      </c>
      <c r="D1163" t="inlineStr">
        <is>
          <t>The Soviet police system, edited by Robert Conquest.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Conquest, Robert.</t>
        </is>
      </c>
      <c r="L1163" t="inlineStr">
        <is>
          <t>New York, F. A. Praeger [1968]</t>
        </is>
      </c>
      <c r="M1163" t="inlineStr">
        <is>
          <t>1968</t>
        </is>
      </c>
      <c r="O1163" t="inlineStr">
        <is>
          <t>eng</t>
        </is>
      </c>
      <c r="P1163" t="inlineStr">
        <is>
          <t>nyu</t>
        </is>
      </c>
      <c r="Q1163" t="inlineStr">
        <is>
          <t>The Contemporary Soviet Union series: institutions and policies</t>
        </is>
      </c>
      <c r="R1163" t="inlineStr">
        <is>
          <t xml:space="preserve">HV </t>
        </is>
      </c>
      <c r="S1163" t="n">
        <v>2</v>
      </c>
      <c r="T1163" t="n">
        <v>2</v>
      </c>
      <c r="U1163" t="inlineStr">
        <is>
          <t>2001-10-31</t>
        </is>
      </c>
      <c r="V1163" t="inlineStr">
        <is>
          <t>2001-10-31</t>
        </is>
      </c>
      <c r="W1163" t="inlineStr">
        <is>
          <t>1992-03-30</t>
        </is>
      </c>
      <c r="X1163" t="inlineStr">
        <is>
          <t>1992-03-30</t>
        </is>
      </c>
      <c r="Y1163" t="n">
        <v>449</v>
      </c>
      <c r="Z1163" t="n">
        <v>413</v>
      </c>
      <c r="AA1163" t="n">
        <v>458</v>
      </c>
      <c r="AB1163" t="n">
        <v>5</v>
      </c>
      <c r="AC1163" t="n">
        <v>5</v>
      </c>
      <c r="AD1163" t="n">
        <v>25</v>
      </c>
      <c r="AE1163" t="n">
        <v>26</v>
      </c>
      <c r="AF1163" t="n">
        <v>8</v>
      </c>
      <c r="AG1163" t="n">
        <v>8</v>
      </c>
      <c r="AH1163" t="n">
        <v>7</v>
      </c>
      <c r="AI1163" t="n">
        <v>7</v>
      </c>
      <c r="AJ1163" t="n">
        <v>11</v>
      </c>
      <c r="AK1163" t="n">
        <v>11</v>
      </c>
      <c r="AL1163" t="n">
        <v>4</v>
      </c>
      <c r="AM1163" t="n">
        <v>4</v>
      </c>
      <c r="AN1163" t="n">
        <v>1</v>
      </c>
      <c r="AO1163" t="n">
        <v>2</v>
      </c>
      <c r="AP1163" t="inlineStr">
        <is>
          <t>No</t>
        </is>
      </c>
      <c r="AQ1163" t="inlineStr">
        <is>
          <t>No</t>
        </is>
      </c>
      <c r="AS1163">
        <f>HYPERLINK("https://creighton-primo.hosted.exlibrisgroup.com/primo-explore/search?tab=default_tab&amp;search_scope=EVERYTHING&amp;vid=01CRU&amp;lang=en_US&amp;offset=0&amp;query=any,contains,991002095709702656","Catalog Record")</f>
        <v/>
      </c>
      <c r="AT1163">
        <f>HYPERLINK("http://www.worldcat.org/oclc/265542","WorldCat Record")</f>
        <v/>
      </c>
      <c r="AU1163" t="inlineStr">
        <is>
          <t>1382468:eng</t>
        </is>
      </c>
      <c r="AV1163" t="inlineStr">
        <is>
          <t>265542</t>
        </is>
      </c>
      <c r="AW1163" t="inlineStr">
        <is>
          <t>991002095709702656</t>
        </is>
      </c>
      <c r="AX1163" t="inlineStr">
        <is>
          <t>991002095709702656</t>
        </is>
      </c>
      <c r="AY1163" t="inlineStr">
        <is>
          <t>2267819490002656</t>
        </is>
      </c>
      <c r="AZ1163" t="inlineStr">
        <is>
          <t>BOOK</t>
        </is>
      </c>
      <c r="BC1163" t="inlineStr">
        <is>
          <t>32285001029627</t>
        </is>
      </c>
      <c r="BD1163" t="inlineStr">
        <is>
          <t>893879490</t>
        </is>
      </c>
    </row>
    <row r="1164">
      <c r="A1164" t="inlineStr">
        <is>
          <t>No</t>
        </is>
      </c>
      <c r="B1164" t="inlineStr">
        <is>
          <t>HV8224 .K57 1988</t>
        </is>
      </c>
      <c r="C1164" t="inlineStr">
        <is>
          <t>0                      HV 8224000K  57          1988</t>
        </is>
      </c>
      <c r="D1164" t="inlineStr">
        <is>
          <t>The KGB : police and politics in the Soviet Union / Amy W. Knight.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Knight, Amy W., 1946-</t>
        </is>
      </c>
      <c r="L1164" t="inlineStr">
        <is>
          <t>Boston : Unwin Hyman, c1988.</t>
        </is>
      </c>
      <c r="M1164" t="inlineStr">
        <is>
          <t>1988</t>
        </is>
      </c>
      <c r="O1164" t="inlineStr">
        <is>
          <t>eng</t>
        </is>
      </c>
      <c r="P1164" t="inlineStr">
        <is>
          <t>mau</t>
        </is>
      </c>
      <c r="R1164" t="inlineStr">
        <is>
          <t xml:space="preserve">HV </t>
        </is>
      </c>
      <c r="S1164" t="n">
        <v>3</v>
      </c>
      <c r="T1164" t="n">
        <v>3</v>
      </c>
      <c r="U1164" t="inlineStr">
        <is>
          <t>2009-04-03</t>
        </is>
      </c>
      <c r="V1164" t="inlineStr">
        <is>
          <t>2009-04-03</t>
        </is>
      </c>
      <c r="W1164" t="inlineStr">
        <is>
          <t>1990-04-25</t>
        </is>
      </c>
      <c r="X1164" t="inlineStr">
        <is>
          <t>1990-04-25</t>
        </is>
      </c>
      <c r="Y1164" t="n">
        <v>733</v>
      </c>
      <c r="Z1164" t="n">
        <v>620</v>
      </c>
      <c r="AA1164" t="n">
        <v>714</v>
      </c>
      <c r="AB1164" t="n">
        <v>5</v>
      </c>
      <c r="AC1164" t="n">
        <v>6</v>
      </c>
      <c r="AD1164" t="n">
        <v>31</v>
      </c>
      <c r="AE1164" t="n">
        <v>36</v>
      </c>
      <c r="AF1164" t="n">
        <v>11</v>
      </c>
      <c r="AG1164" t="n">
        <v>15</v>
      </c>
      <c r="AH1164" t="n">
        <v>9</v>
      </c>
      <c r="AI1164" t="n">
        <v>9</v>
      </c>
      <c r="AJ1164" t="n">
        <v>13</v>
      </c>
      <c r="AK1164" t="n">
        <v>17</v>
      </c>
      <c r="AL1164" t="n">
        <v>4</v>
      </c>
      <c r="AM1164" t="n">
        <v>5</v>
      </c>
      <c r="AN1164" t="n">
        <v>1</v>
      </c>
      <c r="AO1164" t="n">
        <v>1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HYPERLINK("https://creighton-primo.hosted.exlibrisgroup.com/primo-explore/search?tab=default_tab&amp;search_scope=EVERYTHING&amp;vid=01CRU&amp;lang=en_US&amp;offset=0&amp;query=any,contains,991001125729702656","Catalog Record")</f>
        <v/>
      </c>
      <c r="AT1164">
        <f>HYPERLINK("http://www.worldcat.org/oclc/16648260","WorldCat Record")</f>
        <v/>
      </c>
      <c r="AU1164" t="inlineStr">
        <is>
          <t>139957867:eng</t>
        </is>
      </c>
      <c r="AV1164" t="inlineStr">
        <is>
          <t>16648260</t>
        </is>
      </c>
      <c r="AW1164" t="inlineStr">
        <is>
          <t>991001125729702656</t>
        </is>
      </c>
      <c r="AX1164" t="inlineStr">
        <is>
          <t>991001125729702656</t>
        </is>
      </c>
      <c r="AY1164" t="inlineStr">
        <is>
          <t>2265803830002656</t>
        </is>
      </c>
      <c r="AZ1164" t="inlineStr">
        <is>
          <t>BOOK</t>
        </is>
      </c>
      <c r="BB1164" t="inlineStr">
        <is>
          <t>9780044450351</t>
        </is>
      </c>
      <c r="BC1164" t="inlineStr">
        <is>
          <t>32285000133271</t>
        </is>
      </c>
      <c r="BD1164" t="inlineStr">
        <is>
          <t>893626577</t>
        </is>
      </c>
    </row>
    <row r="1165">
      <c r="A1165" t="inlineStr">
        <is>
          <t>No</t>
        </is>
      </c>
      <c r="B1165" t="inlineStr">
        <is>
          <t>HV8224 .M6</t>
        </is>
      </c>
      <c r="C1165" t="inlineStr">
        <is>
          <t>0                      HV 8224000M  6</t>
        </is>
      </c>
      <c r="D1165" t="inlineStr">
        <is>
          <t>The Third Section; police and society in Russia under Nicholas I.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Monas, Sidney.</t>
        </is>
      </c>
      <c r="L1165" t="inlineStr">
        <is>
          <t>Cambridge, Mass., Harvard University Press, 1961.</t>
        </is>
      </c>
      <c r="M1165" t="inlineStr">
        <is>
          <t>1961</t>
        </is>
      </c>
      <c r="O1165" t="inlineStr">
        <is>
          <t>eng</t>
        </is>
      </c>
      <c r="P1165" t="inlineStr">
        <is>
          <t>mau</t>
        </is>
      </c>
      <c r="Q1165" t="inlineStr">
        <is>
          <t>Russian Research Center studies ; 42</t>
        </is>
      </c>
      <c r="R1165" t="inlineStr">
        <is>
          <t xml:space="preserve">HV </t>
        </is>
      </c>
      <c r="S1165" t="n">
        <v>7</v>
      </c>
      <c r="T1165" t="n">
        <v>7</v>
      </c>
      <c r="U1165" t="inlineStr">
        <is>
          <t>2002-04-25</t>
        </is>
      </c>
      <c r="V1165" t="inlineStr">
        <is>
          <t>2002-04-25</t>
        </is>
      </c>
      <c r="W1165" t="inlineStr">
        <is>
          <t>1997-08-25</t>
        </is>
      </c>
      <c r="X1165" t="inlineStr">
        <is>
          <t>1997-08-25</t>
        </is>
      </c>
      <c r="Y1165" t="n">
        <v>755</v>
      </c>
      <c r="Z1165" t="n">
        <v>623</v>
      </c>
      <c r="AA1165" t="n">
        <v>638</v>
      </c>
      <c r="AB1165" t="n">
        <v>5</v>
      </c>
      <c r="AC1165" t="n">
        <v>5</v>
      </c>
      <c r="AD1165" t="n">
        <v>31</v>
      </c>
      <c r="AE1165" t="n">
        <v>32</v>
      </c>
      <c r="AF1165" t="n">
        <v>11</v>
      </c>
      <c r="AG1165" t="n">
        <v>11</v>
      </c>
      <c r="AH1165" t="n">
        <v>7</v>
      </c>
      <c r="AI1165" t="n">
        <v>8</v>
      </c>
      <c r="AJ1165" t="n">
        <v>17</v>
      </c>
      <c r="AK1165" t="n">
        <v>17</v>
      </c>
      <c r="AL1165" t="n">
        <v>4</v>
      </c>
      <c r="AM1165" t="n">
        <v>4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No</t>
        </is>
      </c>
      <c r="AR1165">
        <f>HYPERLINK("http://catalog.hathitrust.org/Record/000341974","HathiTrust Record")</f>
        <v/>
      </c>
      <c r="AS1165">
        <f>HYPERLINK("https://creighton-primo.hosted.exlibrisgroup.com/primo-explore/search?tab=default_tab&amp;search_scope=EVERYTHING&amp;vid=01CRU&amp;lang=en_US&amp;offset=0&amp;query=any,contains,991002326669702656","Catalog Record")</f>
        <v/>
      </c>
      <c r="AT1165">
        <f>HYPERLINK("http://www.worldcat.org/oclc/30303450","WorldCat Record")</f>
        <v/>
      </c>
      <c r="AU1165" t="inlineStr">
        <is>
          <t>21521596:eng</t>
        </is>
      </c>
      <c r="AV1165" t="inlineStr">
        <is>
          <t>30303450</t>
        </is>
      </c>
      <c r="AW1165" t="inlineStr">
        <is>
          <t>991002326669702656</t>
        </is>
      </c>
      <c r="AX1165" t="inlineStr">
        <is>
          <t>991002326669702656</t>
        </is>
      </c>
      <c r="AY1165" t="inlineStr">
        <is>
          <t>2260162270002656</t>
        </is>
      </c>
      <c r="AZ1165" t="inlineStr">
        <is>
          <t>BOOK</t>
        </is>
      </c>
      <c r="BC1165" t="inlineStr">
        <is>
          <t>32285003159059</t>
        </is>
      </c>
      <c r="BD1165" t="inlineStr">
        <is>
          <t>893809431</t>
        </is>
      </c>
    </row>
    <row r="1166">
      <c r="A1166" t="inlineStr">
        <is>
          <t>No</t>
        </is>
      </c>
      <c r="B1166" t="inlineStr">
        <is>
          <t>HV8224.W6 S6 1974</t>
        </is>
      </c>
      <c r="C1166" t="inlineStr">
        <is>
          <t>0                      HV 8224000W  6                  S  6           1974</t>
        </is>
      </c>
      <c r="D1166" t="inlineStr">
        <is>
          <t>The Soviet secret police / edited by Simon Wolin and Robert M. Slusser.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Wolin, Simon, editor.</t>
        </is>
      </c>
      <c r="L1166" t="inlineStr">
        <is>
          <t>Westport, Conn. : Greenwood Press, 1974, c1957.</t>
        </is>
      </c>
      <c r="M1166" t="inlineStr">
        <is>
          <t>1974</t>
        </is>
      </c>
      <c r="O1166" t="inlineStr">
        <is>
          <t>eng</t>
        </is>
      </c>
      <c r="P1166" t="inlineStr">
        <is>
          <t>ctu</t>
        </is>
      </c>
      <c r="R1166" t="inlineStr">
        <is>
          <t xml:space="preserve">HV </t>
        </is>
      </c>
      <c r="S1166" t="n">
        <v>1</v>
      </c>
      <c r="T1166" t="n">
        <v>1</v>
      </c>
      <c r="U1166" t="inlineStr">
        <is>
          <t>2009-04-03</t>
        </is>
      </c>
      <c r="V1166" t="inlineStr">
        <is>
          <t>2009-04-03</t>
        </is>
      </c>
      <c r="W1166" t="inlineStr">
        <is>
          <t>1992-03-30</t>
        </is>
      </c>
      <c r="X1166" t="inlineStr">
        <is>
          <t>1992-03-30</t>
        </is>
      </c>
      <c r="Y1166" t="n">
        <v>89</v>
      </c>
      <c r="Z1166" t="n">
        <v>76</v>
      </c>
      <c r="AA1166" t="n">
        <v>384</v>
      </c>
      <c r="AB1166" t="n">
        <v>1</v>
      </c>
      <c r="AC1166" t="n">
        <v>3</v>
      </c>
      <c r="AD1166" t="n">
        <v>2</v>
      </c>
      <c r="AE1166" t="n">
        <v>24</v>
      </c>
      <c r="AF1166" t="n">
        <v>0</v>
      </c>
      <c r="AG1166" t="n">
        <v>6</v>
      </c>
      <c r="AH1166" t="n">
        <v>1</v>
      </c>
      <c r="AI1166" t="n">
        <v>8</v>
      </c>
      <c r="AJ1166" t="n">
        <v>1</v>
      </c>
      <c r="AK1166" t="n">
        <v>13</v>
      </c>
      <c r="AL1166" t="n">
        <v>0</v>
      </c>
      <c r="AM1166" t="n">
        <v>2</v>
      </c>
      <c r="AN1166" t="n">
        <v>0</v>
      </c>
      <c r="AO1166" t="n">
        <v>2</v>
      </c>
      <c r="AP1166" t="inlineStr">
        <is>
          <t>No</t>
        </is>
      </c>
      <c r="AQ1166" t="inlineStr">
        <is>
          <t>Yes</t>
        </is>
      </c>
      <c r="AR1166">
        <f>HYPERLINK("http://catalog.hathitrust.org/Record/009441146","HathiTrust Record")</f>
        <v/>
      </c>
      <c r="AS1166">
        <f>HYPERLINK("https://creighton-primo.hosted.exlibrisgroup.com/primo-explore/search?tab=default_tab&amp;search_scope=EVERYTHING&amp;vid=01CRU&amp;lang=en_US&amp;offset=0&amp;query=any,contains,991003528019702656","Catalog Record")</f>
        <v/>
      </c>
      <c r="AT1166">
        <f>HYPERLINK("http://www.worldcat.org/oclc/1091679","WorldCat Record")</f>
        <v/>
      </c>
      <c r="AU1166" t="inlineStr">
        <is>
          <t>5575777643:eng</t>
        </is>
      </c>
      <c r="AV1166" t="inlineStr">
        <is>
          <t>1091679</t>
        </is>
      </c>
      <c r="AW1166" t="inlineStr">
        <is>
          <t>991003528019702656</t>
        </is>
      </c>
      <c r="AX1166" t="inlineStr">
        <is>
          <t>991003528019702656</t>
        </is>
      </c>
      <c r="AY1166" t="inlineStr">
        <is>
          <t>2265944850002656</t>
        </is>
      </c>
      <c r="AZ1166" t="inlineStr">
        <is>
          <t>BOOK</t>
        </is>
      </c>
      <c r="BB1166" t="inlineStr">
        <is>
          <t>9780837178523</t>
        </is>
      </c>
      <c r="BC1166" t="inlineStr">
        <is>
          <t>32285001029619</t>
        </is>
      </c>
      <c r="BD1166" t="inlineStr">
        <is>
          <t>893717764</t>
        </is>
      </c>
    </row>
    <row r="1167">
      <c r="A1167" t="inlineStr">
        <is>
          <t>No</t>
        </is>
      </c>
      <c r="B1167" t="inlineStr">
        <is>
          <t>HV8225 .B37</t>
        </is>
      </c>
      <c r="C1167" t="inlineStr">
        <is>
          <t>0                      HV 8225000B  37</t>
        </is>
      </c>
      <c r="D1167" t="inlineStr">
        <is>
          <t>KGB : the secret work of Soviet secret agents.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Barron, John, 1930-2005.</t>
        </is>
      </c>
      <c r="L1167" t="inlineStr">
        <is>
          <t>New York : Reader's Digest Press ; distributed by E. P. Dutton, 1974.</t>
        </is>
      </c>
      <c r="M1167" t="inlineStr">
        <is>
          <t>1974</t>
        </is>
      </c>
      <c r="N1167" t="inlineStr">
        <is>
          <t>[1st ed.]</t>
        </is>
      </c>
      <c r="O1167" t="inlineStr">
        <is>
          <t>eng</t>
        </is>
      </c>
      <c r="P1167" t="inlineStr">
        <is>
          <t>nyu</t>
        </is>
      </c>
      <c r="R1167" t="inlineStr">
        <is>
          <t xml:space="preserve">HV </t>
        </is>
      </c>
      <c r="S1167" t="n">
        <v>1</v>
      </c>
      <c r="T1167" t="n">
        <v>1</v>
      </c>
      <c r="U1167" t="inlineStr">
        <is>
          <t>2009-04-03</t>
        </is>
      </c>
      <c r="V1167" t="inlineStr">
        <is>
          <t>2009-04-03</t>
        </is>
      </c>
      <c r="W1167" t="inlineStr">
        <is>
          <t>1991-12-13</t>
        </is>
      </c>
      <c r="X1167" t="inlineStr">
        <is>
          <t>1991-12-13</t>
        </is>
      </c>
      <c r="Y1167" t="n">
        <v>1025</v>
      </c>
      <c r="Z1167" t="n">
        <v>942</v>
      </c>
      <c r="AA1167" t="n">
        <v>1085</v>
      </c>
      <c r="AB1167" t="n">
        <v>3</v>
      </c>
      <c r="AC1167" t="n">
        <v>3</v>
      </c>
      <c r="AD1167" t="n">
        <v>35</v>
      </c>
      <c r="AE1167" t="n">
        <v>43</v>
      </c>
      <c r="AF1167" t="n">
        <v>18</v>
      </c>
      <c r="AG1167" t="n">
        <v>22</v>
      </c>
      <c r="AH1167" t="n">
        <v>6</v>
      </c>
      <c r="AI1167" t="n">
        <v>8</v>
      </c>
      <c r="AJ1167" t="n">
        <v>18</v>
      </c>
      <c r="AK1167" t="n">
        <v>21</v>
      </c>
      <c r="AL1167" t="n">
        <v>2</v>
      </c>
      <c r="AM1167" t="n">
        <v>2</v>
      </c>
      <c r="AN1167" t="n">
        <v>2</v>
      </c>
      <c r="AO1167" t="n">
        <v>2</v>
      </c>
      <c r="AP1167" t="inlineStr">
        <is>
          <t>No</t>
        </is>
      </c>
      <c r="AQ1167" t="inlineStr">
        <is>
          <t>No</t>
        </is>
      </c>
      <c r="AS1167">
        <f>HYPERLINK("https://creighton-primo.hosted.exlibrisgroup.com/primo-explore/search?tab=default_tab&amp;search_scope=EVERYTHING&amp;vid=01CRU&amp;lang=en_US&amp;offset=0&amp;query=any,contains,991003283279702656","Catalog Record")</f>
        <v/>
      </c>
      <c r="AT1167">
        <f>HYPERLINK("http://www.worldcat.org/oclc/805081","WorldCat Record")</f>
        <v/>
      </c>
      <c r="AU1167" t="inlineStr">
        <is>
          <t>3901010119:eng</t>
        </is>
      </c>
      <c r="AV1167" t="inlineStr">
        <is>
          <t>805081</t>
        </is>
      </c>
      <c r="AW1167" t="inlineStr">
        <is>
          <t>991003283279702656</t>
        </is>
      </c>
      <c r="AX1167" t="inlineStr">
        <is>
          <t>991003283279702656</t>
        </is>
      </c>
      <c r="AY1167" t="inlineStr">
        <is>
          <t>2265506950002656</t>
        </is>
      </c>
      <c r="AZ1167" t="inlineStr">
        <is>
          <t>BOOK</t>
        </is>
      </c>
      <c r="BB1167" t="inlineStr">
        <is>
          <t>9780883490099</t>
        </is>
      </c>
      <c r="BC1167" t="inlineStr">
        <is>
          <t>32285000877976</t>
        </is>
      </c>
      <c r="BD1167" t="inlineStr">
        <is>
          <t>893809914</t>
        </is>
      </c>
    </row>
    <row r="1168">
      <c r="A1168" t="inlineStr">
        <is>
          <t>No</t>
        </is>
      </c>
      <c r="B1168" t="inlineStr">
        <is>
          <t>HV8225 .B373 1983</t>
        </is>
      </c>
      <c r="C1168" t="inlineStr">
        <is>
          <t>0                      HV 8225000B  373         1983</t>
        </is>
      </c>
      <c r="D1168" t="inlineStr">
        <is>
          <t>KGB today : the hidden hand / by John Barron.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Barron, John, 1930-2005.</t>
        </is>
      </c>
      <c r="L1168" t="inlineStr">
        <is>
          <t>New York : Reader's Digest Press, 1983.</t>
        </is>
      </c>
      <c r="M1168" t="inlineStr">
        <is>
          <t>1983</t>
        </is>
      </c>
      <c r="O1168" t="inlineStr">
        <is>
          <t>eng</t>
        </is>
      </c>
      <c r="P1168" t="inlineStr">
        <is>
          <t>nyu</t>
        </is>
      </c>
      <c r="R1168" t="inlineStr">
        <is>
          <t xml:space="preserve">HV </t>
        </is>
      </c>
      <c r="S1168" t="n">
        <v>1</v>
      </c>
      <c r="T1168" t="n">
        <v>1</v>
      </c>
      <c r="U1168" t="inlineStr">
        <is>
          <t>1992-03-15</t>
        </is>
      </c>
      <c r="V1168" t="inlineStr">
        <is>
          <t>1992-03-15</t>
        </is>
      </c>
      <c r="W1168" t="inlineStr">
        <is>
          <t>1990-04-25</t>
        </is>
      </c>
      <c r="X1168" t="inlineStr">
        <is>
          <t>1990-04-25</t>
        </is>
      </c>
      <c r="Y1168" t="n">
        <v>682</v>
      </c>
      <c r="Z1168" t="n">
        <v>616</v>
      </c>
      <c r="AA1168" t="n">
        <v>655</v>
      </c>
      <c r="AB1168" t="n">
        <v>6</v>
      </c>
      <c r="AC1168" t="n">
        <v>6</v>
      </c>
      <c r="AD1168" t="n">
        <v>23</v>
      </c>
      <c r="AE1168" t="n">
        <v>24</v>
      </c>
      <c r="AF1168" t="n">
        <v>6</v>
      </c>
      <c r="AG1168" t="n">
        <v>6</v>
      </c>
      <c r="AH1168" t="n">
        <v>4</v>
      </c>
      <c r="AI1168" t="n">
        <v>5</v>
      </c>
      <c r="AJ1168" t="n">
        <v>16</v>
      </c>
      <c r="AK1168" t="n">
        <v>17</v>
      </c>
      <c r="AL1168" t="n">
        <v>2</v>
      </c>
      <c r="AM1168" t="n">
        <v>2</v>
      </c>
      <c r="AN1168" t="n">
        <v>2</v>
      </c>
      <c r="AO1168" t="n">
        <v>2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HYPERLINK("https://creighton-primo.hosted.exlibrisgroup.com/primo-explore/search?tab=default_tab&amp;search_scope=EVERYTHING&amp;vid=01CRU&amp;lang=en_US&amp;offset=0&amp;query=any,contains,991000196669702656","Catalog Record")</f>
        <v/>
      </c>
      <c r="AT1168">
        <f>HYPERLINK("http://www.worldcat.org/oclc/9441847","WorldCat Record")</f>
        <v/>
      </c>
      <c r="AU1168" t="inlineStr">
        <is>
          <t>366104168:eng</t>
        </is>
      </c>
      <c r="AV1168" t="inlineStr">
        <is>
          <t>9441847</t>
        </is>
      </c>
      <c r="AW1168" t="inlineStr">
        <is>
          <t>991000196669702656</t>
        </is>
      </c>
      <c r="AX1168" t="inlineStr">
        <is>
          <t>991000196669702656</t>
        </is>
      </c>
      <c r="AY1168" t="inlineStr">
        <is>
          <t>2265116140002656</t>
        </is>
      </c>
      <c r="AZ1168" t="inlineStr">
        <is>
          <t>BOOK</t>
        </is>
      </c>
      <c r="BB1168" t="inlineStr">
        <is>
          <t>9780883491645</t>
        </is>
      </c>
      <c r="BC1168" t="inlineStr">
        <is>
          <t>32285000133289</t>
        </is>
      </c>
      <c r="BD1168" t="inlineStr">
        <is>
          <t>893614013</t>
        </is>
      </c>
    </row>
    <row r="1169">
      <c r="A1169" t="inlineStr">
        <is>
          <t>No</t>
        </is>
      </c>
      <c r="B1169" t="inlineStr">
        <is>
          <t>HV8225 .M9 1976</t>
        </is>
      </c>
      <c r="C1169" t="inlineStr">
        <is>
          <t>0                      HV 8225000M  9           1976</t>
        </is>
      </c>
      <c r="D1169" t="inlineStr">
        <is>
          <t>Inside the KGB / by Aleksei Myagkov.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Myagkov, Aleksei, 1945-</t>
        </is>
      </c>
      <c r="L1169" t="inlineStr">
        <is>
          <t>New Rochelle, N.Y. : Arlington House, c1976.</t>
        </is>
      </c>
      <c r="M1169" t="inlineStr">
        <is>
          <t>1976</t>
        </is>
      </c>
      <c r="N1169" t="inlineStr">
        <is>
          <t>1st American ed.</t>
        </is>
      </c>
      <c r="O1169" t="inlineStr">
        <is>
          <t>eng</t>
        </is>
      </c>
      <c r="P1169" t="inlineStr">
        <is>
          <t>nyu</t>
        </is>
      </c>
      <c r="R1169" t="inlineStr">
        <is>
          <t xml:space="preserve">HV </t>
        </is>
      </c>
      <c r="S1169" t="n">
        <v>1</v>
      </c>
      <c r="T1169" t="n">
        <v>1</v>
      </c>
      <c r="U1169" t="inlineStr">
        <is>
          <t>2009-04-03</t>
        </is>
      </c>
      <c r="V1169" t="inlineStr">
        <is>
          <t>2009-04-03</t>
        </is>
      </c>
      <c r="W1169" t="inlineStr">
        <is>
          <t>1992-03-25</t>
        </is>
      </c>
      <c r="X1169" t="inlineStr">
        <is>
          <t>1992-03-25</t>
        </is>
      </c>
      <c r="Y1169" t="n">
        <v>451</v>
      </c>
      <c r="Z1169" t="n">
        <v>427</v>
      </c>
      <c r="AA1169" t="n">
        <v>532</v>
      </c>
      <c r="AB1169" t="n">
        <v>4</v>
      </c>
      <c r="AC1169" t="n">
        <v>4</v>
      </c>
      <c r="AD1169" t="n">
        <v>10</v>
      </c>
      <c r="AE1169" t="n">
        <v>14</v>
      </c>
      <c r="AF1169" t="n">
        <v>2</v>
      </c>
      <c r="AG1169" t="n">
        <v>3</v>
      </c>
      <c r="AH1169" t="n">
        <v>4</v>
      </c>
      <c r="AI1169" t="n">
        <v>7</v>
      </c>
      <c r="AJ1169" t="n">
        <v>4</v>
      </c>
      <c r="AK1169" t="n">
        <v>7</v>
      </c>
      <c r="AL1169" t="n">
        <v>2</v>
      </c>
      <c r="AM1169" t="n">
        <v>2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HYPERLINK("https://creighton-primo.hosted.exlibrisgroup.com/primo-explore/search?tab=default_tab&amp;search_scope=EVERYTHING&amp;vid=01CRU&amp;lang=en_US&amp;offset=0&amp;query=any,contains,991004298769702656","Catalog Record")</f>
        <v/>
      </c>
      <c r="AT1169">
        <f>HYPERLINK("http://www.worldcat.org/oclc/2966888","WorldCat Record")</f>
        <v/>
      </c>
      <c r="AU1169" t="inlineStr">
        <is>
          <t>10440704:eng</t>
        </is>
      </c>
      <c r="AV1169" t="inlineStr">
        <is>
          <t>2966888</t>
        </is>
      </c>
      <c r="AW1169" t="inlineStr">
        <is>
          <t>991004298769702656</t>
        </is>
      </c>
      <c r="AX1169" t="inlineStr">
        <is>
          <t>991004298769702656</t>
        </is>
      </c>
      <c r="AY1169" t="inlineStr">
        <is>
          <t>2267456350002656</t>
        </is>
      </c>
      <c r="AZ1169" t="inlineStr">
        <is>
          <t>BOOK</t>
        </is>
      </c>
      <c r="BB1169" t="inlineStr">
        <is>
          <t>9780870003899</t>
        </is>
      </c>
      <c r="BC1169" t="inlineStr">
        <is>
          <t>32285001028843</t>
        </is>
      </c>
      <c r="BD1169" t="inlineStr">
        <is>
          <t>893901075</t>
        </is>
      </c>
    </row>
    <row r="1170">
      <c r="A1170" t="inlineStr">
        <is>
          <t>No</t>
        </is>
      </c>
      <c r="B1170" t="inlineStr">
        <is>
          <t>HV8225 .R67 1981</t>
        </is>
      </c>
      <c r="C1170" t="inlineStr">
        <is>
          <t>0                      HV 8225000R  67          1981</t>
        </is>
      </c>
      <c r="D1170" t="inlineStr">
        <is>
          <t>The KGB : the eyes of Russia / Harry Rositzke.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Rositzke, Harry August.</t>
        </is>
      </c>
      <c r="L1170" t="inlineStr">
        <is>
          <t>Garden City, N.Y. : Doubleday, 1981.</t>
        </is>
      </c>
      <c r="M1170" t="inlineStr">
        <is>
          <t>1981</t>
        </is>
      </c>
      <c r="N1170" t="inlineStr">
        <is>
          <t>1st ed.</t>
        </is>
      </c>
      <c r="O1170" t="inlineStr">
        <is>
          <t>eng</t>
        </is>
      </c>
      <c r="P1170" t="inlineStr">
        <is>
          <t>nyu</t>
        </is>
      </c>
      <c r="R1170" t="inlineStr">
        <is>
          <t xml:space="preserve">HV </t>
        </is>
      </c>
      <c r="S1170" t="n">
        <v>1</v>
      </c>
      <c r="T1170" t="n">
        <v>1</v>
      </c>
      <c r="U1170" t="inlineStr">
        <is>
          <t>2009-04-03</t>
        </is>
      </c>
      <c r="V1170" t="inlineStr">
        <is>
          <t>2009-04-03</t>
        </is>
      </c>
      <c r="W1170" t="inlineStr">
        <is>
          <t>1990-04-25</t>
        </is>
      </c>
      <c r="X1170" t="inlineStr">
        <is>
          <t>1990-04-25</t>
        </is>
      </c>
      <c r="Y1170" t="n">
        <v>857</v>
      </c>
      <c r="Z1170" t="n">
        <v>792</v>
      </c>
      <c r="AA1170" t="n">
        <v>800</v>
      </c>
      <c r="AB1170" t="n">
        <v>4</v>
      </c>
      <c r="AC1170" t="n">
        <v>4</v>
      </c>
      <c r="AD1170" t="n">
        <v>19</v>
      </c>
      <c r="AE1170" t="n">
        <v>19</v>
      </c>
      <c r="AF1170" t="n">
        <v>10</v>
      </c>
      <c r="AG1170" t="n">
        <v>10</v>
      </c>
      <c r="AH1170" t="n">
        <v>2</v>
      </c>
      <c r="AI1170" t="n">
        <v>2</v>
      </c>
      <c r="AJ1170" t="n">
        <v>10</v>
      </c>
      <c r="AK1170" t="n">
        <v>10</v>
      </c>
      <c r="AL1170" t="n">
        <v>2</v>
      </c>
      <c r="AM1170" t="n">
        <v>2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Yes</t>
        </is>
      </c>
      <c r="AR1170">
        <f>HYPERLINK("http://catalog.hathitrust.org/Record/000263180","HathiTrust Record")</f>
        <v/>
      </c>
      <c r="AS1170">
        <f>HYPERLINK("https://creighton-primo.hosted.exlibrisgroup.com/primo-explore/search?tab=default_tab&amp;search_scope=EVERYTHING&amp;vid=01CRU&amp;lang=en_US&amp;offset=0&amp;query=any,contains,991005059589702656","Catalog Record")</f>
        <v/>
      </c>
      <c r="AT1170">
        <f>HYPERLINK("http://www.worldcat.org/oclc/6916251","WorldCat Record")</f>
        <v/>
      </c>
      <c r="AU1170" t="inlineStr">
        <is>
          <t>18853689:eng</t>
        </is>
      </c>
      <c r="AV1170" t="inlineStr">
        <is>
          <t>6916251</t>
        </is>
      </c>
      <c r="AW1170" t="inlineStr">
        <is>
          <t>991005059589702656</t>
        </is>
      </c>
      <c r="AX1170" t="inlineStr">
        <is>
          <t>991005059589702656</t>
        </is>
      </c>
      <c r="AY1170" t="inlineStr">
        <is>
          <t>2266277000002656</t>
        </is>
      </c>
      <c r="AZ1170" t="inlineStr">
        <is>
          <t>BOOK</t>
        </is>
      </c>
      <c r="BB1170" t="inlineStr">
        <is>
          <t>9780385153904</t>
        </is>
      </c>
      <c r="BC1170" t="inlineStr">
        <is>
          <t>32285000133297</t>
        </is>
      </c>
      <c r="BD1170" t="inlineStr">
        <is>
          <t>893443335</t>
        </is>
      </c>
    </row>
    <row r="1171">
      <c r="A1171" t="inlineStr">
        <is>
          <t>No</t>
        </is>
      </c>
      <c r="B1171" t="inlineStr">
        <is>
          <t>HV8241.8.A45 R634 1995</t>
        </is>
      </c>
      <c r="C1171" t="inlineStr">
        <is>
          <t>0                      HV 8241800A  45                 R  634         1995</t>
        </is>
      </c>
      <c r="D1171" t="inlineStr">
        <is>
          <t>Ceauşescu and the Securitate : coercion and dissent in Romania, 1965-1989 / Dennis Deletant.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Deletant, Dennis, 1946-</t>
        </is>
      </c>
      <c r="L1171" t="inlineStr">
        <is>
          <t>Armonk, N.Y. : M.E. Sharpe, c1995.</t>
        </is>
      </c>
      <c r="M1171" t="inlineStr">
        <is>
          <t>1995</t>
        </is>
      </c>
      <c r="O1171" t="inlineStr">
        <is>
          <t>eng</t>
        </is>
      </c>
      <c r="P1171" t="inlineStr">
        <is>
          <t>nyu</t>
        </is>
      </c>
      <c r="R1171" t="inlineStr">
        <is>
          <t xml:space="preserve">HV </t>
        </is>
      </c>
      <c r="S1171" t="n">
        <v>4</v>
      </c>
      <c r="T1171" t="n">
        <v>4</v>
      </c>
      <c r="U1171" t="inlineStr">
        <is>
          <t>2002-02-17</t>
        </is>
      </c>
      <c r="V1171" t="inlineStr">
        <is>
          <t>2002-02-17</t>
        </is>
      </c>
      <c r="W1171" t="inlineStr">
        <is>
          <t>1997-03-13</t>
        </is>
      </c>
      <c r="X1171" t="inlineStr">
        <is>
          <t>1997-03-13</t>
        </is>
      </c>
      <c r="Y1171" t="n">
        <v>213</v>
      </c>
      <c r="Z1171" t="n">
        <v>185</v>
      </c>
      <c r="AA1171" t="n">
        <v>226</v>
      </c>
      <c r="AB1171" t="n">
        <v>2</v>
      </c>
      <c r="AC1171" t="n">
        <v>2</v>
      </c>
      <c r="AD1171" t="n">
        <v>11</v>
      </c>
      <c r="AE1171" t="n">
        <v>13</v>
      </c>
      <c r="AF1171" t="n">
        <v>3</v>
      </c>
      <c r="AG1171" t="n">
        <v>3</v>
      </c>
      <c r="AH1171" t="n">
        <v>5</v>
      </c>
      <c r="AI1171" t="n">
        <v>6</v>
      </c>
      <c r="AJ1171" t="n">
        <v>6</v>
      </c>
      <c r="AK1171" t="n">
        <v>8</v>
      </c>
      <c r="AL1171" t="n">
        <v>1</v>
      </c>
      <c r="AM1171" t="n">
        <v>1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Yes</t>
        </is>
      </c>
      <c r="AR1171">
        <f>HYPERLINK("http://catalog.hathitrust.org/Record/003883873","HathiTrust Record")</f>
        <v/>
      </c>
      <c r="AS1171">
        <f>HYPERLINK("https://creighton-primo.hosted.exlibrisgroup.com/primo-explore/search?tab=default_tab&amp;search_scope=EVERYTHING&amp;vid=01CRU&amp;lang=en_US&amp;offset=0&amp;query=any,contains,991002517019702656","Catalog Record")</f>
        <v/>
      </c>
      <c r="AT1171">
        <f>HYPERLINK("http://www.worldcat.org/oclc/32739082","WorldCat Record")</f>
        <v/>
      </c>
      <c r="AU1171" t="inlineStr">
        <is>
          <t>37130737:eng</t>
        </is>
      </c>
      <c r="AV1171" t="inlineStr">
        <is>
          <t>32739082</t>
        </is>
      </c>
      <c r="AW1171" t="inlineStr">
        <is>
          <t>991002517019702656</t>
        </is>
      </c>
      <c r="AX1171" t="inlineStr">
        <is>
          <t>991002517019702656</t>
        </is>
      </c>
      <c r="AY1171" t="inlineStr">
        <is>
          <t>2271872690002656</t>
        </is>
      </c>
      <c r="AZ1171" t="inlineStr">
        <is>
          <t>BOOK</t>
        </is>
      </c>
      <c r="BB1171" t="inlineStr">
        <is>
          <t>9781563246333</t>
        </is>
      </c>
      <c r="BC1171" t="inlineStr">
        <is>
          <t>32285002442506</t>
        </is>
      </c>
      <c r="BD1171" t="inlineStr">
        <is>
          <t>893251325</t>
        </is>
      </c>
    </row>
    <row r="1172">
      <c r="A1172" t="inlineStr">
        <is>
          <t>No</t>
        </is>
      </c>
      <c r="B1172" t="inlineStr">
        <is>
          <t>HV8242.55.A3 B39 2010</t>
        </is>
      </c>
      <c r="C1172" t="inlineStr">
        <is>
          <t>0                      HV 8242550A  3                  B  39          2010</t>
        </is>
      </c>
      <c r="D1172" t="inlineStr">
        <is>
          <t>The police in war : fighting insurgency, terrorism, and violent crime / David H. Bayley, Robert M. Perito.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Bayley, David H.</t>
        </is>
      </c>
      <c r="L1172" t="inlineStr">
        <is>
          <t>Boulder : Lynne Rienner Publishers, 2010.</t>
        </is>
      </c>
      <c r="M1172" t="inlineStr">
        <is>
          <t>2010</t>
        </is>
      </c>
      <c r="O1172" t="inlineStr">
        <is>
          <t>eng</t>
        </is>
      </c>
      <c r="P1172" t="inlineStr">
        <is>
          <t>cou</t>
        </is>
      </c>
      <c r="R1172" t="inlineStr">
        <is>
          <t xml:space="preserve">HV </t>
        </is>
      </c>
      <c r="S1172" t="n">
        <v>2</v>
      </c>
      <c r="T1172" t="n">
        <v>2</v>
      </c>
      <c r="U1172" t="inlineStr">
        <is>
          <t>2010-03-29</t>
        </is>
      </c>
      <c r="V1172" t="inlineStr">
        <is>
          <t>2010-03-29</t>
        </is>
      </c>
      <c r="W1172" t="inlineStr">
        <is>
          <t>2010-03-10</t>
        </is>
      </c>
      <c r="X1172" t="inlineStr">
        <is>
          <t>2010-03-10</t>
        </is>
      </c>
      <c r="Y1172" t="n">
        <v>323</v>
      </c>
      <c r="Z1172" t="n">
        <v>253</v>
      </c>
      <c r="AA1172" t="n">
        <v>256</v>
      </c>
      <c r="AB1172" t="n">
        <v>1</v>
      </c>
      <c r="AC1172" t="n">
        <v>1</v>
      </c>
      <c r="AD1172" t="n">
        <v>5</v>
      </c>
      <c r="AE1172" t="n">
        <v>5</v>
      </c>
      <c r="AF1172" t="n">
        <v>1</v>
      </c>
      <c r="AG1172" t="n">
        <v>1</v>
      </c>
      <c r="AH1172" t="n">
        <v>2</v>
      </c>
      <c r="AI1172" t="n">
        <v>2</v>
      </c>
      <c r="AJ1172" t="n">
        <v>3</v>
      </c>
      <c r="AK1172" t="n">
        <v>3</v>
      </c>
      <c r="AL1172" t="n">
        <v>0</v>
      </c>
      <c r="AM1172" t="n">
        <v>0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HYPERLINK("https://creighton-primo.hosted.exlibrisgroup.com/primo-explore/search?tab=default_tab&amp;search_scope=EVERYTHING&amp;vid=01CRU&amp;lang=en_US&amp;offset=0&amp;query=any,contains,991005359549702656","Catalog Record")</f>
        <v/>
      </c>
      <c r="AT1172">
        <f>HYPERLINK("http://www.worldcat.org/oclc/430736584","WorldCat Record")</f>
        <v/>
      </c>
      <c r="AU1172" t="inlineStr">
        <is>
          <t>891413623:eng</t>
        </is>
      </c>
      <c r="AV1172" t="inlineStr">
        <is>
          <t>430736584</t>
        </is>
      </c>
      <c r="AW1172" t="inlineStr">
        <is>
          <t>991005359549702656</t>
        </is>
      </c>
      <c r="AX1172" t="inlineStr">
        <is>
          <t>991005359549702656</t>
        </is>
      </c>
      <c r="AY1172" t="inlineStr">
        <is>
          <t>2271465550002656</t>
        </is>
      </c>
      <c r="AZ1172" t="inlineStr">
        <is>
          <t>BOOK</t>
        </is>
      </c>
      <c r="BB1172" t="inlineStr">
        <is>
          <t>9781588267054</t>
        </is>
      </c>
      <c r="BC1172" t="inlineStr">
        <is>
          <t>32285005577563</t>
        </is>
      </c>
      <c r="BD1172" t="inlineStr">
        <is>
          <t>893689060</t>
        </is>
      </c>
    </row>
    <row r="1173">
      <c r="A1173" t="inlineStr">
        <is>
          <t>No</t>
        </is>
      </c>
      <c r="B1173" t="inlineStr">
        <is>
          <t>HV8250.5.A3 F67 2006</t>
        </is>
      </c>
      <c r="C1173" t="inlineStr">
        <is>
          <t>0                      HV 8250500A  3                  F  67          2006</t>
        </is>
      </c>
      <c r="D1173" t="inlineStr">
        <is>
          <t>Fortifying Pakistan : the role of U.S. internal security assistance / C. Christine Fair and Peter Chalk.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Fair, C. Christine.</t>
        </is>
      </c>
      <c r="L1173" t="inlineStr">
        <is>
          <t>Washington, DC : United States Institute of Peace Press, 2006.</t>
        </is>
      </c>
      <c r="M1173" t="inlineStr">
        <is>
          <t>2006</t>
        </is>
      </c>
      <c r="O1173" t="inlineStr">
        <is>
          <t>eng</t>
        </is>
      </c>
      <c r="P1173" t="inlineStr">
        <is>
          <t>dcu</t>
        </is>
      </c>
      <c r="Q1173" t="inlineStr">
        <is>
          <t>Perspectives series</t>
        </is>
      </c>
      <c r="R1173" t="inlineStr">
        <is>
          <t xml:space="preserve">HV </t>
        </is>
      </c>
      <c r="S1173" t="n">
        <v>1</v>
      </c>
      <c r="T1173" t="n">
        <v>1</v>
      </c>
      <c r="U1173" t="inlineStr">
        <is>
          <t>2007-09-20</t>
        </is>
      </c>
      <c r="V1173" t="inlineStr">
        <is>
          <t>2007-09-20</t>
        </is>
      </c>
      <c r="W1173" t="inlineStr">
        <is>
          <t>2007-09-20</t>
        </is>
      </c>
      <c r="X1173" t="inlineStr">
        <is>
          <t>2007-09-20</t>
        </is>
      </c>
      <c r="Y1173" t="n">
        <v>310</v>
      </c>
      <c r="Z1173" t="n">
        <v>263</v>
      </c>
      <c r="AA1173" t="n">
        <v>268</v>
      </c>
      <c r="AB1173" t="n">
        <v>2</v>
      </c>
      <c r="AC1173" t="n">
        <v>2</v>
      </c>
      <c r="AD1173" t="n">
        <v>11</v>
      </c>
      <c r="AE1173" t="n">
        <v>11</v>
      </c>
      <c r="AF1173" t="n">
        <v>4</v>
      </c>
      <c r="AG1173" t="n">
        <v>4</v>
      </c>
      <c r="AH1173" t="n">
        <v>4</v>
      </c>
      <c r="AI1173" t="n">
        <v>4</v>
      </c>
      <c r="AJ1173" t="n">
        <v>6</v>
      </c>
      <c r="AK1173" t="n">
        <v>6</v>
      </c>
      <c r="AL1173" t="n">
        <v>1</v>
      </c>
      <c r="AM1173" t="n">
        <v>1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No</t>
        </is>
      </c>
      <c r="AS1173">
        <f>HYPERLINK("https://creighton-primo.hosted.exlibrisgroup.com/primo-explore/search?tab=default_tab&amp;search_scope=EVERYTHING&amp;vid=01CRU&amp;lang=en_US&amp;offset=0&amp;query=any,contains,991005115979702656","Catalog Record")</f>
        <v/>
      </c>
      <c r="AT1173">
        <f>HYPERLINK("http://www.worldcat.org/oclc/67392592","WorldCat Record")</f>
        <v/>
      </c>
      <c r="AU1173" t="inlineStr">
        <is>
          <t>341049916:eng</t>
        </is>
      </c>
      <c r="AV1173" t="inlineStr">
        <is>
          <t>67392592</t>
        </is>
      </c>
      <c r="AW1173" t="inlineStr">
        <is>
          <t>991005115979702656</t>
        </is>
      </c>
      <c r="AX1173" t="inlineStr">
        <is>
          <t>991005115979702656</t>
        </is>
      </c>
      <c r="AY1173" t="inlineStr">
        <is>
          <t>2256226610002656</t>
        </is>
      </c>
      <c r="AZ1173" t="inlineStr">
        <is>
          <t>BOOK</t>
        </is>
      </c>
      <c r="BB1173" t="inlineStr">
        <is>
          <t>9781929223886</t>
        </is>
      </c>
      <c r="BC1173" t="inlineStr">
        <is>
          <t>32285005326102</t>
        </is>
      </c>
      <c r="BD1173" t="inlineStr">
        <is>
          <t>893713464</t>
        </is>
      </c>
    </row>
    <row r="1174">
      <c r="A1174" t="inlineStr">
        <is>
          <t>No</t>
        </is>
      </c>
      <c r="B1174" t="inlineStr">
        <is>
          <t>HV8257.A2 A47</t>
        </is>
      </c>
      <c r="C1174" t="inlineStr">
        <is>
          <t>0                      HV 8257000A  2                  A  47</t>
        </is>
      </c>
      <c r="D1174" t="inlineStr">
        <is>
          <t>Police and community in Japan / Walter L. Ames.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Ames, Walter L.</t>
        </is>
      </c>
      <c r="L1174" t="inlineStr">
        <is>
          <t>Berkeley : University of California Press, c1981.</t>
        </is>
      </c>
      <c r="M1174" t="inlineStr">
        <is>
          <t>1981</t>
        </is>
      </c>
      <c r="O1174" t="inlineStr">
        <is>
          <t>eng</t>
        </is>
      </c>
      <c r="P1174" t="inlineStr">
        <is>
          <t>cau</t>
        </is>
      </c>
      <c r="R1174" t="inlineStr">
        <is>
          <t xml:space="preserve">HV </t>
        </is>
      </c>
      <c r="S1174" t="n">
        <v>3</v>
      </c>
      <c r="T1174" t="n">
        <v>3</v>
      </c>
      <c r="U1174" t="inlineStr">
        <is>
          <t>2005-09-13</t>
        </is>
      </c>
      <c r="V1174" t="inlineStr">
        <is>
          <t>2005-09-13</t>
        </is>
      </c>
      <c r="W1174" t="inlineStr">
        <is>
          <t>1992-07-14</t>
        </is>
      </c>
      <c r="X1174" t="inlineStr">
        <is>
          <t>1992-07-14</t>
        </is>
      </c>
      <c r="Y1174" t="n">
        <v>549</v>
      </c>
      <c r="Z1174" t="n">
        <v>426</v>
      </c>
      <c r="AA1174" t="n">
        <v>432</v>
      </c>
      <c r="AB1174" t="n">
        <v>4</v>
      </c>
      <c r="AC1174" t="n">
        <v>4</v>
      </c>
      <c r="AD1174" t="n">
        <v>18</v>
      </c>
      <c r="AE1174" t="n">
        <v>19</v>
      </c>
      <c r="AF1174" t="n">
        <v>6</v>
      </c>
      <c r="AG1174" t="n">
        <v>6</v>
      </c>
      <c r="AH1174" t="n">
        <v>4</v>
      </c>
      <c r="AI1174" t="n">
        <v>4</v>
      </c>
      <c r="AJ1174" t="n">
        <v>7</v>
      </c>
      <c r="AK1174" t="n">
        <v>8</v>
      </c>
      <c r="AL1174" t="n">
        <v>3</v>
      </c>
      <c r="AM1174" t="n">
        <v>3</v>
      </c>
      <c r="AN1174" t="n">
        <v>1</v>
      </c>
      <c r="AO1174" t="n">
        <v>1</v>
      </c>
      <c r="AP1174" t="inlineStr">
        <is>
          <t>No</t>
        </is>
      </c>
      <c r="AQ1174" t="inlineStr">
        <is>
          <t>No</t>
        </is>
      </c>
      <c r="AS1174">
        <f>HYPERLINK("https://creighton-primo.hosted.exlibrisgroup.com/primo-explore/search?tab=default_tab&amp;search_scope=EVERYTHING&amp;vid=01CRU&amp;lang=en_US&amp;offset=0&amp;query=any,contains,991004936709702656","Catalog Record")</f>
        <v/>
      </c>
      <c r="AT1174">
        <f>HYPERLINK("http://www.worldcat.org/oclc/6143759","WorldCat Record")</f>
        <v/>
      </c>
      <c r="AU1174" t="inlineStr">
        <is>
          <t>502139:eng</t>
        </is>
      </c>
      <c r="AV1174" t="inlineStr">
        <is>
          <t>6143759</t>
        </is>
      </c>
      <c r="AW1174" t="inlineStr">
        <is>
          <t>991004936709702656</t>
        </is>
      </c>
      <c r="AX1174" t="inlineStr">
        <is>
          <t>991004936709702656</t>
        </is>
      </c>
      <c r="AY1174" t="inlineStr">
        <is>
          <t>2260065650002656</t>
        </is>
      </c>
      <c r="AZ1174" t="inlineStr">
        <is>
          <t>BOOK</t>
        </is>
      </c>
      <c r="BB1174" t="inlineStr">
        <is>
          <t>9780520040700</t>
        </is>
      </c>
      <c r="BC1174" t="inlineStr">
        <is>
          <t>32285001182889</t>
        </is>
      </c>
      <c r="BD1174" t="inlineStr">
        <is>
          <t>893260339</t>
        </is>
      </c>
    </row>
    <row r="1175">
      <c r="A1175" t="inlineStr">
        <is>
          <t>No</t>
        </is>
      </c>
      <c r="B1175" t="inlineStr">
        <is>
          <t>HV8257.A2 P36 2001</t>
        </is>
      </c>
      <c r="C1175" t="inlineStr">
        <is>
          <t>0                      HV 8257000A  2                  P  36          2001</t>
        </is>
      </c>
      <c r="D1175" t="inlineStr">
        <is>
          <t>The Japanese police system today : a comparative study / L. Craig Parker, Jr.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Parker, L. Craig.</t>
        </is>
      </c>
      <c r="L1175" t="inlineStr">
        <is>
          <t>Armonk, N.Y. : M.E. Sharpe, c2001.</t>
        </is>
      </c>
      <c r="M1175" t="inlineStr">
        <is>
          <t>2001</t>
        </is>
      </c>
      <c r="O1175" t="inlineStr">
        <is>
          <t>eng</t>
        </is>
      </c>
      <c r="P1175" t="inlineStr">
        <is>
          <t>nyu</t>
        </is>
      </c>
      <c r="R1175" t="inlineStr">
        <is>
          <t xml:space="preserve">HV </t>
        </is>
      </c>
      <c r="S1175" t="n">
        <v>1</v>
      </c>
      <c r="T1175" t="n">
        <v>1</v>
      </c>
      <c r="U1175" t="inlineStr">
        <is>
          <t>2001-11-15</t>
        </is>
      </c>
      <c r="V1175" t="inlineStr">
        <is>
          <t>2001-11-15</t>
        </is>
      </c>
      <c r="W1175" t="inlineStr">
        <is>
          <t>2001-11-15</t>
        </is>
      </c>
      <c r="X1175" t="inlineStr">
        <is>
          <t>2001-11-15</t>
        </is>
      </c>
      <c r="Y1175" t="n">
        <v>325</v>
      </c>
      <c r="Z1175" t="n">
        <v>269</v>
      </c>
      <c r="AA1175" t="n">
        <v>292</v>
      </c>
      <c r="AB1175" t="n">
        <v>2</v>
      </c>
      <c r="AC1175" t="n">
        <v>2</v>
      </c>
      <c r="AD1175" t="n">
        <v>15</v>
      </c>
      <c r="AE1175" t="n">
        <v>16</v>
      </c>
      <c r="AF1175" t="n">
        <v>6</v>
      </c>
      <c r="AG1175" t="n">
        <v>7</v>
      </c>
      <c r="AH1175" t="n">
        <v>4</v>
      </c>
      <c r="AI1175" t="n">
        <v>4</v>
      </c>
      <c r="AJ1175" t="n">
        <v>8</v>
      </c>
      <c r="AK1175" t="n">
        <v>9</v>
      </c>
      <c r="AL1175" t="n">
        <v>1</v>
      </c>
      <c r="AM1175" t="n">
        <v>1</v>
      </c>
      <c r="AN1175" t="n">
        <v>1</v>
      </c>
      <c r="AO1175" t="n">
        <v>1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HYPERLINK("http://catalog.hathitrust.org/Record/004584392","HathiTrust Record")</f>
        <v/>
      </c>
      <c r="AS1175">
        <f>HYPERLINK("https://creighton-primo.hosted.exlibrisgroup.com/primo-explore/search?tab=default_tab&amp;search_scope=EVERYTHING&amp;vid=01CRU&amp;lang=en_US&amp;offset=0&amp;query=any,contains,991003656519702656","Catalog Record")</f>
        <v/>
      </c>
      <c r="AT1175">
        <f>HYPERLINK("http://www.worldcat.org/oclc/46422041","WorldCat Record")</f>
        <v/>
      </c>
      <c r="AU1175" t="inlineStr">
        <is>
          <t>20497874:eng</t>
        </is>
      </c>
      <c r="AV1175" t="inlineStr">
        <is>
          <t>46422041</t>
        </is>
      </c>
      <c r="AW1175" t="inlineStr">
        <is>
          <t>991003656519702656</t>
        </is>
      </c>
      <c r="AX1175" t="inlineStr">
        <is>
          <t>991003656519702656</t>
        </is>
      </c>
      <c r="AY1175" t="inlineStr">
        <is>
          <t>2261231510002656</t>
        </is>
      </c>
      <c r="AZ1175" t="inlineStr">
        <is>
          <t>BOOK</t>
        </is>
      </c>
      <c r="BB1175" t="inlineStr">
        <is>
          <t>9780765607614</t>
        </is>
      </c>
      <c r="BC1175" t="inlineStr">
        <is>
          <t>32285004411715</t>
        </is>
      </c>
      <c r="BD1175" t="inlineStr">
        <is>
          <t>893717937</t>
        </is>
      </c>
    </row>
    <row r="1176">
      <c r="A1176" t="inlineStr">
        <is>
          <t>No</t>
        </is>
      </c>
      <c r="B1176" t="inlineStr">
        <is>
          <t>HV8257.A2 P37 1984</t>
        </is>
      </c>
      <c r="C1176" t="inlineStr">
        <is>
          <t>0                      HV 8257000A  2                  P  37          1984</t>
        </is>
      </c>
      <c r="D1176" t="inlineStr">
        <is>
          <t>The Japanese police system today : an American perspective / L. Craig Parker, Jr.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Parker, L. Craig.</t>
        </is>
      </c>
      <c r="L1176" t="inlineStr">
        <is>
          <t>Tokyo ; New York : Kodansha International, 1984.</t>
        </is>
      </c>
      <c r="M1176" t="inlineStr">
        <is>
          <t>1984</t>
        </is>
      </c>
      <c r="O1176" t="inlineStr">
        <is>
          <t>eng</t>
        </is>
      </c>
      <c r="P1176" t="inlineStr">
        <is>
          <t xml:space="preserve">ja </t>
        </is>
      </c>
      <c r="R1176" t="inlineStr">
        <is>
          <t xml:space="preserve">HV </t>
        </is>
      </c>
      <c r="S1176" t="n">
        <v>6</v>
      </c>
      <c r="T1176" t="n">
        <v>6</v>
      </c>
      <c r="U1176" t="inlineStr">
        <is>
          <t>2005-09-13</t>
        </is>
      </c>
      <c r="V1176" t="inlineStr">
        <is>
          <t>2005-09-13</t>
        </is>
      </c>
      <c r="W1176" t="inlineStr">
        <is>
          <t>1992-07-14</t>
        </is>
      </c>
      <c r="X1176" t="inlineStr">
        <is>
          <t>1992-07-14</t>
        </is>
      </c>
      <c r="Y1176" t="n">
        <v>469</v>
      </c>
      <c r="Z1176" t="n">
        <v>361</v>
      </c>
      <c r="AA1176" t="n">
        <v>405</v>
      </c>
      <c r="AB1176" t="n">
        <v>3</v>
      </c>
      <c r="AC1176" t="n">
        <v>3</v>
      </c>
      <c r="AD1176" t="n">
        <v>17</v>
      </c>
      <c r="AE1176" t="n">
        <v>18</v>
      </c>
      <c r="AF1176" t="n">
        <v>6</v>
      </c>
      <c r="AG1176" t="n">
        <v>7</v>
      </c>
      <c r="AH1176" t="n">
        <v>4</v>
      </c>
      <c r="AI1176" t="n">
        <v>4</v>
      </c>
      <c r="AJ1176" t="n">
        <v>7</v>
      </c>
      <c r="AK1176" t="n">
        <v>8</v>
      </c>
      <c r="AL1176" t="n">
        <v>2</v>
      </c>
      <c r="AM1176" t="n">
        <v>2</v>
      </c>
      <c r="AN1176" t="n">
        <v>1</v>
      </c>
      <c r="AO1176" t="n">
        <v>1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HYPERLINK("https://creighton-primo.hosted.exlibrisgroup.com/primo-explore/search?tab=default_tab&amp;search_scope=EVERYTHING&amp;vid=01CRU&amp;lang=en_US&amp;offset=0&amp;query=any,contains,991000450159702656","Catalog Record")</f>
        <v/>
      </c>
      <c r="AT1176">
        <f>HYPERLINK("http://www.worldcat.org/oclc/10878084","WorldCat Record")</f>
        <v/>
      </c>
      <c r="AU1176" t="inlineStr">
        <is>
          <t>3415360:eng</t>
        </is>
      </c>
      <c r="AV1176" t="inlineStr">
        <is>
          <t>10878084</t>
        </is>
      </c>
      <c r="AW1176" t="inlineStr">
        <is>
          <t>991000450159702656</t>
        </is>
      </c>
      <c r="AX1176" t="inlineStr">
        <is>
          <t>991000450159702656</t>
        </is>
      </c>
      <c r="AY1176" t="inlineStr">
        <is>
          <t>2271462340002656</t>
        </is>
      </c>
      <c r="AZ1176" t="inlineStr">
        <is>
          <t>BOOK</t>
        </is>
      </c>
      <c r="BB1176" t="inlineStr">
        <is>
          <t>9780870116513</t>
        </is>
      </c>
      <c r="BC1176" t="inlineStr">
        <is>
          <t>32285001182897</t>
        </is>
      </c>
      <c r="BD1176" t="inlineStr">
        <is>
          <t>893695842</t>
        </is>
      </c>
    </row>
    <row r="1177">
      <c r="A1177" t="inlineStr">
        <is>
          <t>No</t>
        </is>
      </c>
      <c r="B1177" t="inlineStr">
        <is>
          <t>HV8257.A45 K458 1991</t>
        </is>
      </c>
      <c r="C1177" t="inlineStr">
        <is>
          <t>0                      HV 8257000A  45                 K  458         1991</t>
        </is>
      </c>
      <c r="D1177" t="inlineStr">
        <is>
          <t>The Japanese police state : the Tokko in interwar Japan / Elise K. Tipton.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Tipton, Elise K.</t>
        </is>
      </c>
      <c r="L1177" t="inlineStr">
        <is>
          <t>London : Athlone, 1991.</t>
        </is>
      </c>
      <c r="M1177" t="inlineStr">
        <is>
          <t>1991</t>
        </is>
      </c>
      <c r="O1177" t="inlineStr">
        <is>
          <t>eng</t>
        </is>
      </c>
      <c r="P1177" t="inlineStr">
        <is>
          <t>enk</t>
        </is>
      </c>
      <c r="R1177" t="inlineStr">
        <is>
          <t xml:space="preserve">HV </t>
        </is>
      </c>
      <c r="S1177" t="n">
        <v>2</v>
      </c>
      <c r="T1177" t="n">
        <v>2</v>
      </c>
      <c r="U1177" t="inlineStr">
        <is>
          <t>2005-09-13</t>
        </is>
      </c>
      <c r="V1177" t="inlineStr">
        <is>
          <t>2005-09-13</t>
        </is>
      </c>
      <c r="W1177" t="inlineStr">
        <is>
          <t>2002-03-04</t>
        </is>
      </c>
      <c r="X1177" t="inlineStr">
        <is>
          <t>2002-03-04</t>
        </is>
      </c>
      <c r="Y1177" t="n">
        <v>45</v>
      </c>
      <c r="Z1177" t="n">
        <v>10</v>
      </c>
      <c r="AA1177" t="n">
        <v>347</v>
      </c>
      <c r="AB1177" t="n">
        <v>1</v>
      </c>
      <c r="AC1177" t="n">
        <v>3</v>
      </c>
      <c r="AD1177" t="n">
        <v>1</v>
      </c>
      <c r="AE1177" t="n">
        <v>19</v>
      </c>
      <c r="AF1177" t="n">
        <v>0</v>
      </c>
      <c r="AG1177" t="n">
        <v>6</v>
      </c>
      <c r="AH1177" t="n">
        <v>1</v>
      </c>
      <c r="AI1177" t="n">
        <v>7</v>
      </c>
      <c r="AJ1177" t="n">
        <v>1</v>
      </c>
      <c r="AK1177" t="n">
        <v>10</v>
      </c>
      <c r="AL1177" t="n">
        <v>0</v>
      </c>
      <c r="AM1177" t="n">
        <v>2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HYPERLINK("https://creighton-primo.hosted.exlibrisgroup.com/primo-explore/search?tab=default_tab&amp;search_scope=EVERYTHING&amp;vid=01CRU&amp;lang=en_US&amp;offset=0&amp;query=any,contains,991003687209702656","Catalog Record")</f>
        <v/>
      </c>
      <c r="AT1177">
        <f>HYPERLINK("http://www.worldcat.org/oclc/59819318","WorldCat Record")</f>
        <v/>
      </c>
      <c r="AU1177" t="inlineStr">
        <is>
          <t>20769822:eng</t>
        </is>
      </c>
      <c r="AV1177" t="inlineStr">
        <is>
          <t>59819318</t>
        </is>
      </c>
      <c r="AW1177" t="inlineStr">
        <is>
          <t>991003687209702656</t>
        </is>
      </c>
      <c r="AX1177" t="inlineStr">
        <is>
          <t>991003687209702656</t>
        </is>
      </c>
      <c r="AY1177" t="inlineStr">
        <is>
          <t>2267296740002656</t>
        </is>
      </c>
      <c r="AZ1177" t="inlineStr">
        <is>
          <t>BOOK</t>
        </is>
      </c>
      <c r="BB1177" t="inlineStr">
        <is>
          <t>9780485300659</t>
        </is>
      </c>
      <c r="BC1177" t="inlineStr">
        <is>
          <t>32285004458898</t>
        </is>
      </c>
      <c r="BD1177" t="inlineStr">
        <is>
          <t>893800025</t>
        </is>
      </c>
    </row>
    <row r="1178">
      <c r="A1178" t="inlineStr">
        <is>
          <t>No</t>
        </is>
      </c>
      <c r="B1178" t="inlineStr">
        <is>
          <t>HV8272.A3 C39 1997</t>
        </is>
      </c>
      <c r="C1178" t="inlineStr">
        <is>
          <t>0                      HV 8272000A  3                  C  39          1997</t>
        </is>
      </c>
      <c r="D1178" t="inlineStr">
        <is>
          <t>Securing South Africa's democracy : defense, development, and security in transition / Gavin Cawthra.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Cawthra, Gavin.</t>
        </is>
      </c>
      <c r="L1178" t="inlineStr">
        <is>
          <t>Houndmills, Basingstoke, Hampshire : Macmillan Press ; New York : St. Martin's Press, 1997.</t>
        </is>
      </c>
      <c r="M1178" t="inlineStr">
        <is>
          <t>1997</t>
        </is>
      </c>
      <c r="O1178" t="inlineStr">
        <is>
          <t>eng</t>
        </is>
      </c>
      <c r="P1178" t="inlineStr">
        <is>
          <t>enk</t>
        </is>
      </c>
      <c r="Q1178" t="inlineStr">
        <is>
          <t>International political economy series</t>
        </is>
      </c>
      <c r="R1178" t="inlineStr">
        <is>
          <t xml:space="preserve">HV </t>
        </is>
      </c>
      <c r="S1178" t="n">
        <v>4</v>
      </c>
      <c r="T1178" t="n">
        <v>4</v>
      </c>
      <c r="U1178" t="inlineStr">
        <is>
          <t>2004-11-02</t>
        </is>
      </c>
      <c r="V1178" t="inlineStr">
        <is>
          <t>2004-11-02</t>
        </is>
      </c>
      <c r="W1178" t="inlineStr">
        <is>
          <t>1998-11-09</t>
        </is>
      </c>
      <c r="X1178" t="inlineStr">
        <is>
          <t>1998-11-09</t>
        </is>
      </c>
      <c r="Y1178" t="n">
        <v>321</v>
      </c>
      <c r="Z1178" t="n">
        <v>271</v>
      </c>
      <c r="AA1178" t="n">
        <v>295</v>
      </c>
      <c r="AB1178" t="n">
        <v>2</v>
      </c>
      <c r="AC1178" t="n">
        <v>2</v>
      </c>
      <c r="AD1178" t="n">
        <v>16</v>
      </c>
      <c r="AE1178" t="n">
        <v>16</v>
      </c>
      <c r="AF1178" t="n">
        <v>6</v>
      </c>
      <c r="AG1178" t="n">
        <v>6</v>
      </c>
      <c r="AH1178" t="n">
        <v>5</v>
      </c>
      <c r="AI1178" t="n">
        <v>5</v>
      </c>
      <c r="AJ1178" t="n">
        <v>10</v>
      </c>
      <c r="AK1178" t="n">
        <v>10</v>
      </c>
      <c r="AL1178" t="n">
        <v>1</v>
      </c>
      <c r="AM1178" t="n">
        <v>1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HYPERLINK("https://creighton-primo.hosted.exlibrisgroup.com/primo-explore/search?tab=default_tab&amp;search_scope=EVERYTHING&amp;vid=01CRU&amp;lang=en_US&amp;offset=0&amp;query=any,contains,991002753909702656","Catalog Record")</f>
        <v/>
      </c>
      <c r="AT1178">
        <f>HYPERLINK("http://www.worldcat.org/oclc/36130693","WorldCat Record")</f>
        <v/>
      </c>
      <c r="AU1178" t="inlineStr">
        <is>
          <t>199120285:eng</t>
        </is>
      </c>
      <c r="AV1178" t="inlineStr">
        <is>
          <t>36130693</t>
        </is>
      </c>
      <c r="AW1178" t="inlineStr">
        <is>
          <t>991002753909702656</t>
        </is>
      </c>
      <c r="AX1178" t="inlineStr">
        <is>
          <t>991002753909702656</t>
        </is>
      </c>
      <c r="AY1178" t="inlineStr">
        <is>
          <t>2254845120002656</t>
        </is>
      </c>
      <c r="AZ1178" t="inlineStr">
        <is>
          <t>BOOK</t>
        </is>
      </c>
      <c r="BB1178" t="inlineStr">
        <is>
          <t>9780312174194</t>
        </is>
      </c>
      <c r="BC1178" t="inlineStr">
        <is>
          <t>32285003486841</t>
        </is>
      </c>
      <c r="BD1178" t="inlineStr">
        <is>
          <t>893517703</t>
        </is>
      </c>
    </row>
    <row r="1179">
      <c r="A1179" t="inlineStr">
        <is>
          <t>No</t>
        </is>
      </c>
      <c r="B1179" t="inlineStr">
        <is>
          <t>HV8441 .C5 1983</t>
        </is>
      </c>
      <c r="C1179" t="inlineStr">
        <is>
          <t>0                      HV 8441000C  5           1983</t>
        </is>
      </c>
      <c r="D1179" t="inlineStr">
        <is>
          <t>Relación de la cárcel de Sevilla / Cristóbal de Chaves.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Chaves, Cristóbal de.</t>
        </is>
      </c>
      <c r="L1179" t="inlineStr">
        <is>
          <t>Madrid : J. Esteban, 1983.</t>
        </is>
      </c>
      <c r="M1179" t="inlineStr">
        <is>
          <t>1983</t>
        </is>
      </c>
      <c r="O1179" t="inlineStr">
        <is>
          <t>spa</t>
        </is>
      </c>
      <c r="P1179" t="inlineStr">
        <is>
          <t xml:space="preserve">sp </t>
        </is>
      </c>
      <c r="Q1179" t="inlineStr">
        <is>
          <t>Clásicos El Arbol ; 6</t>
        </is>
      </c>
      <c r="R1179" t="inlineStr">
        <is>
          <t xml:space="preserve">HV </t>
        </is>
      </c>
      <c r="S1179" t="n">
        <v>0</v>
      </c>
      <c r="T1179" t="n">
        <v>0</v>
      </c>
      <c r="U1179" t="inlineStr">
        <is>
          <t>2010-02-02</t>
        </is>
      </c>
      <c r="V1179" t="inlineStr">
        <is>
          <t>2010-02-02</t>
        </is>
      </c>
      <c r="W1179" t="inlineStr">
        <is>
          <t>1992-07-14</t>
        </is>
      </c>
      <c r="X1179" t="inlineStr">
        <is>
          <t>1992-07-14</t>
        </is>
      </c>
      <c r="Y1179" t="n">
        <v>29</v>
      </c>
      <c r="Z1179" t="n">
        <v>17</v>
      </c>
      <c r="AA1179" t="n">
        <v>18</v>
      </c>
      <c r="AB1179" t="n">
        <v>1</v>
      </c>
      <c r="AC1179" t="n">
        <v>1</v>
      </c>
      <c r="AD1179" t="n">
        <v>0</v>
      </c>
      <c r="AE1179" t="n">
        <v>0</v>
      </c>
      <c r="AF1179" t="n">
        <v>0</v>
      </c>
      <c r="AG1179" t="n">
        <v>0</v>
      </c>
      <c r="AH1179" t="n">
        <v>0</v>
      </c>
      <c r="AI1179" t="n">
        <v>0</v>
      </c>
      <c r="AJ1179" t="n">
        <v>0</v>
      </c>
      <c r="AK1179" t="n">
        <v>0</v>
      </c>
      <c r="AL1179" t="n">
        <v>0</v>
      </c>
      <c r="AM1179" t="n">
        <v>0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HYPERLINK("http://catalog.hathitrust.org/Record/009512966","HathiTrust Record")</f>
        <v/>
      </c>
      <c r="AS1179">
        <f>HYPERLINK("https://creighton-primo.hosted.exlibrisgroup.com/primo-explore/search?tab=default_tab&amp;search_scope=EVERYTHING&amp;vid=01CRU&amp;lang=en_US&amp;offset=0&amp;query=any,contains,991000930029702656","Catalog Record")</f>
        <v/>
      </c>
      <c r="AT1179">
        <f>HYPERLINK("http://www.worldcat.org/oclc/14259373","WorldCat Record")</f>
        <v/>
      </c>
      <c r="AU1179" t="inlineStr">
        <is>
          <t>8123822:spa</t>
        </is>
      </c>
      <c r="AV1179" t="inlineStr">
        <is>
          <t>14259373</t>
        </is>
      </c>
      <c r="AW1179" t="inlineStr">
        <is>
          <t>991000930029702656</t>
        </is>
      </c>
      <c r="AX1179" t="inlineStr">
        <is>
          <t>991000930029702656</t>
        </is>
      </c>
      <c r="AY1179" t="inlineStr">
        <is>
          <t>2269829440002656</t>
        </is>
      </c>
      <c r="AZ1179" t="inlineStr">
        <is>
          <t>BOOK</t>
        </is>
      </c>
      <c r="BB1179" t="inlineStr">
        <is>
          <t>9788485869145</t>
        </is>
      </c>
      <c r="BC1179" t="inlineStr">
        <is>
          <t>32285001182921</t>
        </is>
      </c>
      <c r="BD1179" t="inlineStr">
        <is>
          <t>893708843</t>
        </is>
      </c>
    </row>
    <row r="1180">
      <c r="A1180" t="inlineStr">
        <is>
          <t>No</t>
        </is>
      </c>
      <c r="B1180" t="inlineStr">
        <is>
          <t>HV8508 .C37 1999</t>
        </is>
      </c>
      <c r="C1180" t="inlineStr">
        <is>
          <t>0                      HV 8508000C  37          1999</t>
        </is>
      </c>
      <c r="D1180" t="inlineStr">
        <is>
          <t>Carcer : prison et privation de liberté dans l'Antiquité classique : actes du colloque de Strasbourg (5 et 6 décembre 1997) / édités par Cécile Bertrand-Dagenbach ... [et al.].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L1180" t="inlineStr">
        <is>
          <t>Paris : De Boccard, 1999.</t>
        </is>
      </c>
      <c r="M1180" t="inlineStr">
        <is>
          <t>1999</t>
        </is>
      </c>
      <c r="O1180" t="inlineStr">
        <is>
          <t>fre</t>
        </is>
      </c>
      <c r="P1180" t="inlineStr">
        <is>
          <t xml:space="preserve">fr </t>
        </is>
      </c>
      <c r="Q1180" t="inlineStr">
        <is>
          <t>Etudes d'archéologie et d'histoire ancienne</t>
        </is>
      </c>
      <c r="R1180" t="inlineStr">
        <is>
          <t xml:space="preserve">HV </t>
        </is>
      </c>
      <c r="S1180" t="n">
        <v>1</v>
      </c>
      <c r="T1180" t="n">
        <v>1</v>
      </c>
      <c r="U1180" t="inlineStr">
        <is>
          <t>2001-07-10</t>
        </is>
      </c>
      <c r="V1180" t="inlineStr">
        <is>
          <t>2001-07-10</t>
        </is>
      </c>
      <c r="W1180" t="inlineStr">
        <is>
          <t>2001-07-10</t>
        </is>
      </c>
      <c r="X1180" t="inlineStr">
        <is>
          <t>2001-07-10</t>
        </is>
      </c>
      <c r="Y1180" t="n">
        <v>53</v>
      </c>
      <c r="Z1180" t="n">
        <v>30</v>
      </c>
      <c r="AA1180" t="n">
        <v>30</v>
      </c>
      <c r="AB1180" t="n">
        <v>1</v>
      </c>
      <c r="AC1180" t="n">
        <v>1</v>
      </c>
      <c r="AD1180" t="n">
        <v>0</v>
      </c>
      <c r="AE1180" t="n">
        <v>0</v>
      </c>
      <c r="AF1180" t="n">
        <v>0</v>
      </c>
      <c r="AG1180" t="n">
        <v>0</v>
      </c>
      <c r="AH1180" t="n">
        <v>0</v>
      </c>
      <c r="AI1180" t="n">
        <v>0</v>
      </c>
      <c r="AJ1180" t="n">
        <v>0</v>
      </c>
      <c r="AK1180" t="n">
        <v>0</v>
      </c>
      <c r="AL1180" t="n">
        <v>0</v>
      </c>
      <c r="AM1180" t="n">
        <v>0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No</t>
        </is>
      </c>
      <c r="AS1180">
        <f>HYPERLINK("https://creighton-primo.hosted.exlibrisgroup.com/primo-explore/search?tab=default_tab&amp;search_scope=EVERYTHING&amp;vid=01CRU&amp;lang=en_US&amp;offset=0&amp;query=any,contains,991003476649702656","Catalog Record")</f>
        <v/>
      </c>
      <c r="AT1180">
        <f>HYPERLINK("http://www.worldcat.org/oclc/43403144","WorldCat Record")</f>
        <v/>
      </c>
      <c r="AU1180" t="inlineStr">
        <is>
          <t>807421706:fre</t>
        </is>
      </c>
      <c r="AV1180" t="inlineStr">
        <is>
          <t>43403144</t>
        </is>
      </c>
      <c r="AW1180" t="inlineStr">
        <is>
          <t>991003476649702656</t>
        </is>
      </c>
      <c r="AX1180" t="inlineStr">
        <is>
          <t>991003476649702656</t>
        </is>
      </c>
      <c r="AY1180" t="inlineStr">
        <is>
          <t>2256797470002656</t>
        </is>
      </c>
      <c r="AZ1180" t="inlineStr">
        <is>
          <t>BOOK</t>
        </is>
      </c>
      <c r="BB1180" t="inlineStr">
        <is>
          <t>9782701801278</t>
        </is>
      </c>
      <c r="BC1180" t="inlineStr">
        <is>
          <t>32285004331335</t>
        </is>
      </c>
      <c r="BD1180" t="inlineStr">
        <is>
          <t>893781050</t>
        </is>
      </c>
    </row>
    <row r="1181">
      <c r="A1181" t="inlineStr">
        <is>
          <t>No</t>
        </is>
      </c>
      <c r="B1181" t="inlineStr">
        <is>
          <t>HV851 .A35</t>
        </is>
      </c>
      <c r="C1181" t="inlineStr">
        <is>
          <t>0                      HV 0851000A  35</t>
        </is>
      </c>
      <c r="D1181" t="inlineStr">
        <is>
          <t>Administering day care and preschool programs / [edited by] Donald T. Streets ; contributors, Elizabeth L. Bowen ... [et al.].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L1181" t="inlineStr">
        <is>
          <t>Nahant, MA : Allyn and Bacon, c1982.</t>
        </is>
      </c>
      <c r="M1181" t="inlineStr">
        <is>
          <t>1982</t>
        </is>
      </c>
      <c r="O1181" t="inlineStr">
        <is>
          <t>eng</t>
        </is>
      </c>
      <c r="P1181" t="inlineStr">
        <is>
          <t>mau</t>
        </is>
      </c>
      <c r="R1181" t="inlineStr">
        <is>
          <t xml:space="preserve">HV </t>
        </is>
      </c>
      <c r="S1181" t="n">
        <v>10</v>
      </c>
      <c r="T1181" t="n">
        <v>10</v>
      </c>
      <c r="U1181" t="inlineStr">
        <is>
          <t>1997-04-30</t>
        </is>
      </c>
      <c r="V1181" t="inlineStr">
        <is>
          <t>1997-04-30</t>
        </is>
      </c>
      <c r="W1181" t="inlineStr">
        <is>
          <t>1993-11-22</t>
        </is>
      </c>
      <c r="X1181" t="inlineStr">
        <is>
          <t>1993-11-22</t>
        </is>
      </c>
      <c r="Y1181" t="n">
        <v>398</v>
      </c>
      <c r="Z1181" t="n">
        <v>341</v>
      </c>
      <c r="AA1181" t="n">
        <v>348</v>
      </c>
      <c r="AB1181" t="n">
        <v>5</v>
      </c>
      <c r="AC1181" t="n">
        <v>5</v>
      </c>
      <c r="AD1181" t="n">
        <v>9</v>
      </c>
      <c r="AE1181" t="n">
        <v>9</v>
      </c>
      <c r="AF1181" t="n">
        <v>3</v>
      </c>
      <c r="AG1181" t="n">
        <v>3</v>
      </c>
      <c r="AH1181" t="n">
        <v>1</v>
      </c>
      <c r="AI1181" t="n">
        <v>1</v>
      </c>
      <c r="AJ1181" t="n">
        <v>2</v>
      </c>
      <c r="AK1181" t="n">
        <v>2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HYPERLINK("http://catalog.hathitrust.org/Record/007559464","HathiTrust Record")</f>
        <v/>
      </c>
      <c r="AS1181">
        <f>HYPERLINK("https://creighton-primo.hosted.exlibrisgroup.com/primo-explore/search?tab=default_tab&amp;search_scope=EVERYTHING&amp;vid=01CRU&amp;lang=en_US&amp;offset=0&amp;query=any,contains,991005125189702656","Catalog Record")</f>
        <v/>
      </c>
      <c r="AT1181">
        <f>HYPERLINK("http://www.worldcat.org/oclc/7553059","WorldCat Record")</f>
        <v/>
      </c>
      <c r="AU1181" t="inlineStr">
        <is>
          <t>375570004:eng</t>
        </is>
      </c>
      <c r="AV1181" t="inlineStr">
        <is>
          <t>7553059</t>
        </is>
      </c>
      <c r="AW1181" t="inlineStr">
        <is>
          <t>991005125189702656</t>
        </is>
      </c>
      <c r="AX1181" t="inlineStr">
        <is>
          <t>991005125189702656</t>
        </is>
      </c>
      <c r="AY1181" t="inlineStr">
        <is>
          <t>2262603020002656</t>
        </is>
      </c>
      <c r="AZ1181" t="inlineStr">
        <is>
          <t>BOOK</t>
        </is>
      </c>
      <c r="BB1181" t="inlineStr">
        <is>
          <t>9780205075560</t>
        </is>
      </c>
      <c r="BC1181" t="inlineStr">
        <is>
          <t>32285001688026</t>
        </is>
      </c>
      <c r="BD1181" t="inlineStr">
        <is>
          <t>893807854</t>
        </is>
      </c>
    </row>
    <row r="1182">
      <c r="A1182" t="inlineStr">
        <is>
          <t>No</t>
        </is>
      </c>
      <c r="B1182" t="inlineStr">
        <is>
          <t>HV851 .F4</t>
        </is>
      </c>
      <c r="C1182" t="inlineStr">
        <is>
          <t>0                      HV 0851000F  4</t>
        </is>
      </c>
      <c r="D1182" t="inlineStr">
        <is>
          <t>Day care in context / [by] Greta G. Fein and Alison Clarke-Stewart, with the support of the Foundation for Child Development.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Fein, Greta G., 1929-</t>
        </is>
      </c>
      <c r="L1182" t="inlineStr">
        <is>
          <t>New York : Wiley, [c1973]</t>
        </is>
      </c>
      <c r="M1182" t="inlineStr">
        <is>
          <t>1973</t>
        </is>
      </c>
      <c r="O1182" t="inlineStr">
        <is>
          <t>eng</t>
        </is>
      </c>
      <c r="P1182" t="inlineStr">
        <is>
          <t>nyu</t>
        </is>
      </c>
      <c r="R1182" t="inlineStr">
        <is>
          <t xml:space="preserve">HV </t>
        </is>
      </c>
      <c r="S1182" t="n">
        <v>15</v>
      </c>
      <c r="T1182" t="n">
        <v>15</v>
      </c>
      <c r="U1182" t="inlineStr">
        <is>
          <t>2003-04-16</t>
        </is>
      </c>
      <c r="V1182" t="inlineStr">
        <is>
          <t>2003-04-16</t>
        </is>
      </c>
      <c r="W1182" t="inlineStr">
        <is>
          <t>1991-10-18</t>
        </is>
      </c>
      <c r="X1182" t="inlineStr">
        <is>
          <t>1991-10-18</t>
        </is>
      </c>
      <c r="Y1182" t="n">
        <v>756</v>
      </c>
      <c r="Z1182" t="n">
        <v>635</v>
      </c>
      <c r="AA1182" t="n">
        <v>642</v>
      </c>
      <c r="AB1182" t="n">
        <v>8</v>
      </c>
      <c r="AC1182" t="n">
        <v>8</v>
      </c>
      <c r="AD1182" t="n">
        <v>28</v>
      </c>
      <c r="AE1182" t="n">
        <v>28</v>
      </c>
      <c r="AF1182" t="n">
        <v>11</v>
      </c>
      <c r="AG1182" t="n">
        <v>11</v>
      </c>
      <c r="AH1182" t="n">
        <v>4</v>
      </c>
      <c r="AI1182" t="n">
        <v>4</v>
      </c>
      <c r="AJ1182" t="n">
        <v>10</v>
      </c>
      <c r="AK1182" t="n">
        <v>10</v>
      </c>
      <c r="AL1182" t="n">
        <v>6</v>
      </c>
      <c r="AM1182" t="n">
        <v>6</v>
      </c>
      <c r="AN1182" t="n">
        <v>0</v>
      </c>
      <c r="AO1182" t="n">
        <v>0</v>
      </c>
      <c r="AP1182" t="inlineStr">
        <is>
          <t>No</t>
        </is>
      </c>
      <c r="AQ1182" t="inlineStr">
        <is>
          <t>Yes</t>
        </is>
      </c>
      <c r="AR1182">
        <f>HYPERLINK("http://catalog.hathitrust.org/Record/001132638","HathiTrust Record")</f>
        <v/>
      </c>
      <c r="AS1182">
        <f>HYPERLINK("https://creighton-primo.hosted.exlibrisgroup.com/primo-explore/search?tab=default_tab&amp;search_scope=EVERYTHING&amp;vid=01CRU&amp;lang=en_US&amp;offset=0&amp;query=any,contains,991002759639702656","Catalog Record")</f>
        <v/>
      </c>
      <c r="AT1182">
        <f>HYPERLINK("http://www.worldcat.org/oclc/427509","WorldCat Record")</f>
        <v/>
      </c>
      <c r="AU1182" t="inlineStr">
        <is>
          <t>1523126:eng</t>
        </is>
      </c>
      <c r="AV1182" t="inlineStr">
        <is>
          <t>427509</t>
        </is>
      </c>
      <c r="AW1182" t="inlineStr">
        <is>
          <t>991002759639702656</t>
        </is>
      </c>
      <c r="AX1182" t="inlineStr">
        <is>
          <t>991002759639702656</t>
        </is>
      </c>
      <c r="AY1182" t="inlineStr">
        <is>
          <t>2264532960002656</t>
        </is>
      </c>
      <c r="AZ1182" t="inlineStr">
        <is>
          <t>BOOK</t>
        </is>
      </c>
      <c r="BB1182" t="inlineStr">
        <is>
          <t>9780471256953</t>
        </is>
      </c>
      <c r="BC1182" t="inlineStr">
        <is>
          <t>32285000775147</t>
        </is>
      </c>
      <c r="BD1182" t="inlineStr">
        <is>
          <t>893498505</t>
        </is>
      </c>
    </row>
    <row r="1183">
      <c r="A1183" t="inlineStr">
        <is>
          <t>No</t>
        </is>
      </c>
      <c r="B1183" t="inlineStr">
        <is>
          <t>HV851 .F5 1982</t>
        </is>
      </c>
      <c r="C1183" t="inlineStr">
        <is>
          <t>0                      HV 0851000F  5           1982</t>
        </is>
      </c>
      <c r="D1183" t="inlineStr">
        <is>
          <t>Monday through Friday : day care alternatives / Jane Merrill Filstrup, with Dorothy W. Gross.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K1183" t="inlineStr">
        <is>
          <t>Merrill, Jane.</t>
        </is>
      </c>
      <c r="L1183" t="inlineStr">
        <is>
          <t>New York : Teachers College Press, 1982.</t>
        </is>
      </c>
      <c r="M1183" t="inlineStr">
        <is>
          <t>1982</t>
        </is>
      </c>
      <c r="O1183" t="inlineStr">
        <is>
          <t>eng</t>
        </is>
      </c>
      <c r="P1183" t="inlineStr">
        <is>
          <t>nyu</t>
        </is>
      </c>
      <c r="R1183" t="inlineStr">
        <is>
          <t xml:space="preserve">HV </t>
        </is>
      </c>
      <c r="S1183" t="n">
        <v>16</v>
      </c>
      <c r="T1183" t="n">
        <v>16</v>
      </c>
      <c r="U1183" t="inlineStr">
        <is>
          <t>2000-03-28</t>
        </is>
      </c>
      <c r="V1183" t="inlineStr">
        <is>
          <t>2000-03-28</t>
        </is>
      </c>
      <c r="W1183" t="inlineStr">
        <is>
          <t>1992-02-17</t>
        </is>
      </c>
      <c r="X1183" t="inlineStr">
        <is>
          <t>1992-02-17</t>
        </is>
      </c>
      <c r="Y1183" t="n">
        <v>360</v>
      </c>
      <c r="Z1183" t="n">
        <v>325</v>
      </c>
      <c r="AA1183" t="n">
        <v>326</v>
      </c>
      <c r="AB1183" t="n">
        <v>2</v>
      </c>
      <c r="AC1183" t="n">
        <v>2</v>
      </c>
      <c r="AD1183" t="n">
        <v>7</v>
      </c>
      <c r="AE1183" t="n">
        <v>7</v>
      </c>
      <c r="AF1183" t="n">
        <v>1</v>
      </c>
      <c r="AG1183" t="n">
        <v>1</v>
      </c>
      <c r="AH1183" t="n">
        <v>1</v>
      </c>
      <c r="AI1183" t="n">
        <v>1</v>
      </c>
      <c r="AJ1183" t="n">
        <v>5</v>
      </c>
      <c r="AK1183" t="n">
        <v>5</v>
      </c>
      <c r="AL1183" t="n">
        <v>1</v>
      </c>
      <c r="AM1183" t="n">
        <v>1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No</t>
        </is>
      </c>
      <c r="AS1183">
        <f>HYPERLINK("https://creighton-primo.hosted.exlibrisgroup.com/primo-explore/search?tab=default_tab&amp;search_scope=EVERYTHING&amp;vid=01CRU&amp;lang=en_US&amp;offset=0&amp;query=any,contains,991005229919702656","Catalog Record")</f>
        <v/>
      </c>
      <c r="AT1183">
        <f>HYPERLINK("http://www.worldcat.org/oclc/8306783","WorldCat Record")</f>
        <v/>
      </c>
      <c r="AU1183" t="inlineStr">
        <is>
          <t>465077:eng</t>
        </is>
      </c>
      <c r="AV1183" t="inlineStr">
        <is>
          <t>8306783</t>
        </is>
      </c>
      <c r="AW1183" t="inlineStr">
        <is>
          <t>991005229919702656</t>
        </is>
      </c>
      <c r="AX1183" t="inlineStr">
        <is>
          <t>991005229919702656</t>
        </is>
      </c>
      <c r="AY1183" t="inlineStr">
        <is>
          <t>2269255370002656</t>
        </is>
      </c>
      <c r="AZ1183" t="inlineStr">
        <is>
          <t>BOOK</t>
        </is>
      </c>
      <c r="BB1183" t="inlineStr">
        <is>
          <t>9780807726709</t>
        </is>
      </c>
      <c r="BC1183" t="inlineStr">
        <is>
          <t>32285000947035</t>
        </is>
      </c>
      <c r="BD1183" t="inlineStr">
        <is>
          <t>893353776</t>
        </is>
      </c>
    </row>
    <row r="1184">
      <c r="A1184" t="inlineStr">
        <is>
          <t>No</t>
        </is>
      </c>
      <c r="B1184" t="inlineStr">
        <is>
          <t>HV851 .M34 1984</t>
        </is>
      </c>
      <c r="C1184" t="inlineStr">
        <is>
          <t>0                      HV 0851000M  34          1984</t>
        </is>
      </c>
      <c r="D1184" t="inlineStr">
        <is>
          <t>Making day care better : training, evaluation, and the process of change / edited by James T. Greenman, Robert W. Fuqua.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L1184" t="inlineStr">
        <is>
          <t>New York : Teachers College Press, Columbia University, 1984.</t>
        </is>
      </c>
      <c r="M1184" t="inlineStr">
        <is>
          <t>1984</t>
        </is>
      </c>
      <c r="O1184" t="inlineStr">
        <is>
          <t>eng</t>
        </is>
      </c>
      <c r="P1184" t="inlineStr">
        <is>
          <t>nyu</t>
        </is>
      </c>
      <c r="Q1184" t="inlineStr">
        <is>
          <t>Early childhood education series</t>
        </is>
      </c>
      <c r="R1184" t="inlineStr">
        <is>
          <t xml:space="preserve">HV </t>
        </is>
      </c>
      <c r="S1184" t="n">
        <v>10</v>
      </c>
      <c r="T1184" t="n">
        <v>10</v>
      </c>
      <c r="U1184" t="inlineStr">
        <is>
          <t>1997-09-06</t>
        </is>
      </c>
      <c r="V1184" t="inlineStr">
        <is>
          <t>1997-09-06</t>
        </is>
      </c>
      <c r="W1184" t="inlineStr">
        <is>
          <t>1991-12-13</t>
        </is>
      </c>
      <c r="X1184" t="inlineStr">
        <is>
          <t>1991-12-13</t>
        </is>
      </c>
      <c r="Y1184" t="n">
        <v>393</v>
      </c>
      <c r="Z1184" t="n">
        <v>348</v>
      </c>
      <c r="AA1184" t="n">
        <v>354</v>
      </c>
      <c r="AB1184" t="n">
        <v>6</v>
      </c>
      <c r="AC1184" t="n">
        <v>6</v>
      </c>
      <c r="AD1184" t="n">
        <v>18</v>
      </c>
      <c r="AE1184" t="n">
        <v>18</v>
      </c>
      <c r="AF1184" t="n">
        <v>6</v>
      </c>
      <c r="AG1184" t="n">
        <v>6</v>
      </c>
      <c r="AH1184" t="n">
        <v>2</v>
      </c>
      <c r="AI1184" t="n">
        <v>2</v>
      </c>
      <c r="AJ1184" t="n">
        <v>8</v>
      </c>
      <c r="AK1184" t="n">
        <v>8</v>
      </c>
      <c r="AL1184" t="n">
        <v>5</v>
      </c>
      <c r="AM1184" t="n">
        <v>5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No</t>
        </is>
      </c>
      <c r="AS1184">
        <f>HYPERLINK("https://creighton-primo.hosted.exlibrisgroup.com/primo-explore/search?tab=default_tab&amp;search_scope=EVERYTHING&amp;vid=01CRU&amp;lang=en_US&amp;offset=0&amp;query=any,contains,991000291759702656","Catalog Record")</f>
        <v/>
      </c>
      <c r="AT1184">
        <f>HYPERLINK("http://www.worldcat.org/oclc/9970129","WorldCat Record")</f>
        <v/>
      </c>
      <c r="AU1184" t="inlineStr">
        <is>
          <t>894509766:eng</t>
        </is>
      </c>
      <c r="AV1184" t="inlineStr">
        <is>
          <t>9970129</t>
        </is>
      </c>
      <c r="AW1184" t="inlineStr">
        <is>
          <t>991000291759702656</t>
        </is>
      </c>
      <c r="AX1184" t="inlineStr">
        <is>
          <t>991000291759702656</t>
        </is>
      </c>
      <c r="AY1184" t="inlineStr">
        <is>
          <t>2254837220002656</t>
        </is>
      </c>
      <c r="AZ1184" t="inlineStr">
        <is>
          <t>BOOK</t>
        </is>
      </c>
      <c r="BB1184" t="inlineStr">
        <is>
          <t>9780807727508</t>
        </is>
      </c>
      <c r="BC1184" t="inlineStr">
        <is>
          <t>32285000895655</t>
        </is>
      </c>
      <c r="BD1184" t="inlineStr">
        <is>
          <t>893777834</t>
        </is>
      </c>
    </row>
    <row r="1185">
      <c r="A1185" t="inlineStr">
        <is>
          <t>No</t>
        </is>
      </c>
      <c r="B1185" t="inlineStr">
        <is>
          <t>HV854 .A7 1984</t>
        </is>
      </c>
      <c r="C1185" t="inlineStr">
        <is>
          <t>0                      HV 0854000A  7           1984</t>
        </is>
      </c>
      <c r="D1185" t="inlineStr">
        <is>
          <t>Caring for other people's children : a complete guide to family day care / by Frances Kemper Alston ; illustrated by Gail Alison LaCava.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No</t>
        </is>
      </c>
      <c r="J1185" t="inlineStr">
        <is>
          <t>0</t>
        </is>
      </c>
      <c r="K1185" t="inlineStr">
        <is>
          <t>Alston, Frances Kemper.</t>
        </is>
      </c>
      <c r="L1185" t="inlineStr">
        <is>
          <t>Baltimore : University Park Press, c1984.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mdu</t>
        </is>
      </c>
      <c r="R1185" t="inlineStr">
        <is>
          <t xml:space="preserve">HV </t>
        </is>
      </c>
      <c r="S1185" t="n">
        <v>9</v>
      </c>
      <c r="T1185" t="n">
        <v>9</v>
      </c>
      <c r="U1185" t="inlineStr">
        <is>
          <t>1997-03-10</t>
        </is>
      </c>
      <c r="V1185" t="inlineStr">
        <is>
          <t>1997-03-10</t>
        </is>
      </c>
      <c r="W1185" t="inlineStr">
        <is>
          <t>1992-01-07</t>
        </is>
      </c>
      <c r="X1185" t="inlineStr">
        <is>
          <t>1992-01-07</t>
        </is>
      </c>
      <c r="Y1185" t="n">
        <v>186</v>
      </c>
      <c r="Z1185" t="n">
        <v>161</v>
      </c>
      <c r="AA1185" t="n">
        <v>831</v>
      </c>
      <c r="AB1185" t="n">
        <v>2</v>
      </c>
      <c r="AC1185" t="n">
        <v>4</v>
      </c>
      <c r="AD1185" t="n">
        <v>3</v>
      </c>
      <c r="AE1185" t="n">
        <v>14</v>
      </c>
      <c r="AF1185" t="n">
        <v>1</v>
      </c>
      <c r="AG1185" t="n">
        <v>4</v>
      </c>
      <c r="AH1185" t="n">
        <v>0</v>
      </c>
      <c r="AI1185" t="n">
        <v>3</v>
      </c>
      <c r="AJ1185" t="n">
        <v>1</v>
      </c>
      <c r="AK1185" t="n">
        <v>5</v>
      </c>
      <c r="AL1185" t="n">
        <v>1</v>
      </c>
      <c r="AM1185" t="n">
        <v>3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HYPERLINK("http://catalog.hathitrust.org/Record/000159221","HathiTrust Record")</f>
        <v/>
      </c>
      <c r="AS1185">
        <f>HYPERLINK("https://creighton-primo.hosted.exlibrisgroup.com/primo-explore/search?tab=default_tab&amp;search_scope=EVERYTHING&amp;vid=01CRU&amp;lang=en_US&amp;offset=0&amp;query=any,contains,991000145139702656","Catalog Record")</f>
        <v/>
      </c>
      <c r="AT1185">
        <f>HYPERLINK("http://www.worldcat.org/oclc/9193984","WorldCat Record")</f>
        <v/>
      </c>
      <c r="AU1185" t="inlineStr">
        <is>
          <t>1005462:eng</t>
        </is>
      </c>
      <c r="AV1185" t="inlineStr">
        <is>
          <t>9193984</t>
        </is>
      </c>
      <c r="AW1185" t="inlineStr">
        <is>
          <t>991000145139702656</t>
        </is>
      </c>
      <c r="AX1185" t="inlineStr">
        <is>
          <t>991000145139702656</t>
        </is>
      </c>
      <c r="AY1185" t="inlineStr">
        <is>
          <t>2267929880002656</t>
        </is>
      </c>
      <c r="AZ1185" t="inlineStr">
        <is>
          <t>BOOK</t>
        </is>
      </c>
      <c r="BB1185" t="inlineStr">
        <is>
          <t>9780839118466</t>
        </is>
      </c>
      <c r="BC1185" t="inlineStr">
        <is>
          <t>32285004837554</t>
        </is>
      </c>
      <c r="BD1185" t="inlineStr">
        <is>
          <t>893784010</t>
        </is>
      </c>
    </row>
    <row r="1186">
      <c r="A1186" t="inlineStr">
        <is>
          <t>No</t>
        </is>
      </c>
      <c r="B1186" t="inlineStr">
        <is>
          <t>HV854 .D39</t>
        </is>
      </c>
      <c r="C1186" t="inlineStr">
        <is>
          <t>0                      HV 0854000D  39</t>
        </is>
      </c>
      <c r="D1186" t="inlineStr">
        <is>
          <t>Day care : scientific and social policy issues / edited by Edward F. Zigler and Edmund W. Gordon for the American Orthopsychiatric Association.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L1186" t="inlineStr">
        <is>
          <t>Boston, Mass. : Auburn House Pub. Co., c1982.</t>
        </is>
      </c>
      <c r="M1186" t="inlineStr">
        <is>
          <t>1981</t>
        </is>
      </c>
      <c r="O1186" t="inlineStr">
        <is>
          <t>eng</t>
        </is>
      </c>
      <c r="P1186" t="inlineStr">
        <is>
          <t>mau</t>
        </is>
      </c>
      <c r="R1186" t="inlineStr">
        <is>
          <t xml:space="preserve">HV </t>
        </is>
      </c>
      <c r="S1186" t="n">
        <v>35</v>
      </c>
      <c r="T1186" t="n">
        <v>35</v>
      </c>
      <c r="U1186" t="inlineStr">
        <is>
          <t>2005-02-21</t>
        </is>
      </c>
      <c r="V1186" t="inlineStr">
        <is>
          <t>2005-02-21</t>
        </is>
      </c>
      <c r="W1186" t="inlineStr">
        <is>
          <t>1990-04-06</t>
        </is>
      </c>
      <c r="X1186" t="inlineStr">
        <is>
          <t>1990-04-06</t>
        </is>
      </c>
      <c r="Y1186" t="n">
        <v>584</v>
      </c>
      <c r="Z1186" t="n">
        <v>507</v>
      </c>
      <c r="AA1186" t="n">
        <v>514</v>
      </c>
      <c r="AB1186" t="n">
        <v>6</v>
      </c>
      <c r="AC1186" t="n">
        <v>6</v>
      </c>
      <c r="AD1186" t="n">
        <v>24</v>
      </c>
      <c r="AE1186" t="n">
        <v>24</v>
      </c>
      <c r="AF1186" t="n">
        <v>7</v>
      </c>
      <c r="AG1186" t="n">
        <v>7</v>
      </c>
      <c r="AH1186" t="n">
        <v>6</v>
      </c>
      <c r="AI1186" t="n">
        <v>6</v>
      </c>
      <c r="AJ1186" t="n">
        <v>12</v>
      </c>
      <c r="AK1186" t="n">
        <v>12</v>
      </c>
      <c r="AL1186" t="n">
        <v>4</v>
      </c>
      <c r="AM1186" t="n">
        <v>4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HYPERLINK("http://catalog.hathitrust.org/Record/000149812","HathiTrust Record")</f>
        <v/>
      </c>
      <c r="AS1186">
        <f>HYPERLINK("https://creighton-primo.hosted.exlibrisgroup.com/primo-explore/search?tab=default_tab&amp;search_scope=EVERYTHING&amp;vid=01CRU&amp;lang=en_US&amp;offset=0&amp;query=any,contains,991005154949702656","Catalog Record")</f>
        <v/>
      </c>
      <c r="AT1186">
        <f>HYPERLINK("http://www.worldcat.org/oclc/7738409","WorldCat Record")</f>
        <v/>
      </c>
      <c r="AU1186" t="inlineStr">
        <is>
          <t>906435362:eng</t>
        </is>
      </c>
      <c r="AV1186" t="inlineStr">
        <is>
          <t>7738409</t>
        </is>
      </c>
      <c r="AW1186" t="inlineStr">
        <is>
          <t>991005154949702656</t>
        </is>
      </c>
      <c r="AX1186" t="inlineStr">
        <is>
          <t>991005154949702656</t>
        </is>
      </c>
      <c r="AY1186" t="inlineStr">
        <is>
          <t>2257852830002656</t>
        </is>
      </c>
      <c r="AZ1186" t="inlineStr">
        <is>
          <t>BOOK</t>
        </is>
      </c>
      <c r="BB1186" t="inlineStr">
        <is>
          <t>9780865690981</t>
        </is>
      </c>
      <c r="BC1186" t="inlineStr">
        <is>
          <t>32285000111764</t>
        </is>
      </c>
      <c r="BD1186" t="inlineStr">
        <is>
          <t>893242295</t>
        </is>
      </c>
    </row>
    <row r="1187">
      <c r="A1187" t="inlineStr">
        <is>
          <t>No</t>
        </is>
      </c>
      <c r="B1187" t="inlineStr">
        <is>
          <t>HV854 .K57 1986</t>
        </is>
      </c>
      <c r="C1187" t="inlineStr">
        <is>
          <t>0                      HV 0854000K  57          1986</t>
        </is>
      </c>
      <c r="D1187" t="inlineStr">
        <is>
          <t>The autonomous child : day care and the transmission of values / by Carol Speekman Klass.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Klass, Carol Speekman.</t>
        </is>
      </c>
      <c r="L1187" t="inlineStr">
        <is>
          <t>London ; Philadelphia : Falmer Press, 1986.</t>
        </is>
      </c>
      <c r="M1187" t="inlineStr">
        <is>
          <t>1986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HV </t>
        </is>
      </c>
      <c r="S1187" t="n">
        <v>9</v>
      </c>
      <c r="T1187" t="n">
        <v>9</v>
      </c>
      <c r="U1187" t="inlineStr">
        <is>
          <t>1999-03-16</t>
        </is>
      </c>
      <c r="V1187" t="inlineStr">
        <is>
          <t>1999-03-16</t>
        </is>
      </c>
      <c r="W1187" t="inlineStr">
        <is>
          <t>1992-03-12</t>
        </is>
      </c>
      <c r="X1187" t="inlineStr">
        <is>
          <t>1992-03-12</t>
        </is>
      </c>
      <c r="Y1187" t="n">
        <v>240</v>
      </c>
      <c r="Z1187" t="n">
        <v>171</v>
      </c>
      <c r="AA1187" t="n">
        <v>173</v>
      </c>
      <c r="AB1187" t="n">
        <v>2</v>
      </c>
      <c r="AC1187" t="n">
        <v>2</v>
      </c>
      <c r="AD1187" t="n">
        <v>6</v>
      </c>
      <c r="AE1187" t="n">
        <v>6</v>
      </c>
      <c r="AF1187" t="n">
        <v>1</v>
      </c>
      <c r="AG1187" t="n">
        <v>1</v>
      </c>
      <c r="AH1187" t="n">
        <v>1</v>
      </c>
      <c r="AI1187" t="n">
        <v>1</v>
      </c>
      <c r="AJ1187" t="n">
        <v>4</v>
      </c>
      <c r="AK1187" t="n">
        <v>4</v>
      </c>
      <c r="AL1187" t="n">
        <v>1</v>
      </c>
      <c r="AM1187" t="n">
        <v>1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Yes</t>
        </is>
      </c>
      <c r="AR1187">
        <f>HYPERLINK("http://catalog.hathitrust.org/Record/000810449","HathiTrust Record")</f>
        <v/>
      </c>
      <c r="AS1187">
        <f>HYPERLINK("https://creighton-primo.hosted.exlibrisgroup.com/primo-explore/search?tab=default_tab&amp;search_scope=EVERYTHING&amp;vid=01CRU&amp;lang=en_US&amp;offset=0&amp;query=any,contains,991000897209702656","Catalog Record")</f>
        <v/>
      </c>
      <c r="AT1187">
        <f>HYPERLINK("http://www.worldcat.org/oclc/14001332","WorldCat Record")</f>
        <v/>
      </c>
      <c r="AU1187" t="inlineStr">
        <is>
          <t>6818497:eng</t>
        </is>
      </c>
      <c r="AV1187" t="inlineStr">
        <is>
          <t>14001332</t>
        </is>
      </c>
      <c r="AW1187" t="inlineStr">
        <is>
          <t>991000897209702656</t>
        </is>
      </c>
      <c r="AX1187" t="inlineStr">
        <is>
          <t>991000897209702656</t>
        </is>
      </c>
      <c r="AY1187" t="inlineStr">
        <is>
          <t>2259047940002656</t>
        </is>
      </c>
      <c r="AZ1187" t="inlineStr">
        <is>
          <t>BOOK</t>
        </is>
      </c>
      <c r="BB1187" t="inlineStr">
        <is>
          <t>9781850001157</t>
        </is>
      </c>
      <c r="BC1187" t="inlineStr">
        <is>
          <t>32285000998558</t>
        </is>
      </c>
      <c r="BD1187" t="inlineStr">
        <is>
          <t>893249783</t>
        </is>
      </c>
    </row>
    <row r="1188">
      <c r="A1188" t="inlineStr">
        <is>
          <t>No</t>
        </is>
      </c>
      <c r="B1188" t="inlineStr">
        <is>
          <t>HV854 .K66 1992</t>
        </is>
      </c>
      <c r="C1188" t="inlineStr">
        <is>
          <t>0                      HV 0854000K  66          1992</t>
        </is>
      </c>
      <c r="D1188" t="inlineStr">
        <is>
          <t>Family day care : out of the shadows and into the limelight / Susan Kontos.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Kontos, Susan, 1949-</t>
        </is>
      </c>
      <c r="L1188" t="inlineStr">
        <is>
          <t>Washington, DC : National Association for the Education of Young Children, c1992.</t>
        </is>
      </c>
      <c r="M1188" t="inlineStr">
        <is>
          <t>1992</t>
        </is>
      </c>
      <c r="O1188" t="inlineStr">
        <is>
          <t>eng</t>
        </is>
      </c>
      <c r="P1188" t="inlineStr">
        <is>
          <t>dcu</t>
        </is>
      </c>
      <c r="Q1188" t="inlineStr">
        <is>
          <t>NAEYC ; #144</t>
        </is>
      </c>
      <c r="R1188" t="inlineStr">
        <is>
          <t xml:space="preserve">HV </t>
        </is>
      </c>
      <c r="S1188" t="n">
        <v>10</v>
      </c>
      <c r="T1188" t="n">
        <v>10</v>
      </c>
      <c r="U1188" t="inlineStr">
        <is>
          <t>2005-02-21</t>
        </is>
      </c>
      <c r="V1188" t="inlineStr">
        <is>
          <t>2005-02-21</t>
        </is>
      </c>
      <c r="W1188" t="inlineStr">
        <is>
          <t>1994-07-12</t>
        </is>
      </c>
      <c r="X1188" t="inlineStr">
        <is>
          <t>1994-07-12</t>
        </is>
      </c>
      <c r="Y1188" t="n">
        <v>277</v>
      </c>
      <c r="Z1188" t="n">
        <v>248</v>
      </c>
      <c r="AA1188" t="n">
        <v>256</v>
      </c>
      <c r="AB1188" t="n">
        <v>2</v>
      </c>
      <c r="AC1188" t="n">
        <v>2</v>
      </c>
      <c r="AD1188" t="n">
        <v>7</v>
      </c>
      <c r="AE1188" t="n">
        <v>7</v>
      </c>
      <c r="AF1188" t="n">
        <v>3</v>
      </c>
      <c r="AG1188" t="n">
        <v>3</v>
      </c>
      <c r="AH1188" t="n">
        <v>2</v>
      </c>
      <c r="AI1188" t="n">
        <v>2</v>
      </c>
      <c r="AJ1188" t="n">
        <v>1</v>
      </c>
      <c r="AK1188" t="n">
        <v>1</v>
      </c>
      <c r="AL1188" t="n">
        <v>1</v>
      </c>
      <c r="AM1188" t="n">
        <v>1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Yes</t>
        </is>
      </c>
      <c r="AR1188">
        <f>HYPERLINK("http://catalog.hathitrust.org/Record/004538484","HathiTrust Record")</f>
        <v/>
      </c>
      <c r="AS1188">
        <f>HYPERLINK("https://creighton-primo.hosted.exlibrisgroup.com/primo-explore/search?tab=default_tab&amp;search_scope=EVERYTHING&amp;vid=01CRU&amp;lang=en_US&amp;offset=0&amp;query=any,contains,991002121349702656","Catalog Record")</f>
        <v/>
      </c>
      <c r="AT1188">
        <f>HYPERLINK("http://www.worldcat.org/oclc/27186187","WorldCat Record")</f>
        <v/>
      </c>
      <c r="AU1188" t="inlineStr">
        <is>
          <t>1018369798:eng</t>
        </is>
      </c>
      <c r="AV1188" t="inlineStr">
        <is>
          <t>27186187</t>
        </is>
      </c>
      <c r="AW1188" t="inlineStr">
        <is>
          <t>991002121349702656</t>
        </is>
      </c>
      <c r="AX1188" t="inlineStr">
        <is>
          <t>991002121349702656</t>
        </is>
      </c>
      <c r="AY1188" t="inlineStr">
        <is>
          <t>2270416350002656</t>
        </is>
      </c>
      <c r="AZ1188" t="inlineStr">
        <is>
          <t>BOOK</t>
        </is>
      </c>
      <c r="BC1188" t="inlineStr">
        <is>
          <t>32285001931178</t>
        </is>
      </c>
      <c r="BD1188" t="inlineStr">
        <is>
          <t>893341051</t>
        </is>
      </c>
    </row>
    <row r="1189">
      <c r="A1189" t="inlineStr">
        <is>
          <t>No</t>
        </is>
      </c>
      <c r="B1189" t="inlineStr">
        <is>
          <t>HV854 .P53 1991</t>
        </is>
      </c>
      <c r="C1189" t="inlineStr">
        <is>
          <t>0                      HV 0854000P  53          1991</t>
        </is>
      </c>
      <c r="D1189" t="inlineStr">
        <is>
          <t>Scenes from day care : how teachers teach and what children learn / Elizabeth Balliett Platt.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Platt, Elizabeth Balliett.</t>
        </is>
      </c>
      <c r="L1189" t="inlineStr">
        <is>
          <t>New York, NY : Teachers College Press, c1991.</t>
        </is>
      </c>
      <c r="M1189" t="inlineStr">
        <is>
          <t>1991</t>
        </is>
      </c>
      <c r="O1189" t="inlineStr">
        <is>
          <t>eng</t>
        </is>
      </c>
      <c r="P1189" t="inlineStr">
        <is>
          <t>nyu</t>
        </is>
      </c>
      <c r="Q1189" t="inlineStr">
        <is>
          <t>Early childhood education series</t>
        </is>
      </c>
      <c r="R1189" t="inlineStr">
        <is>
          <t xml:space="preserve">HV </t>
        </is>
      </c>
      <c r="S1189" t="n">
        <v>2</v>
      </c>
      <c r="T1189" t="n">
        <v>2</v>
      </c>
      <c r="U1189" t="inlineStr">
        <is>
          <t>2002-04-17</t>
        </is>
      </c>
      <c r="V1189" t="inlineStr">
        <is>
          <t>2002-04-17</t>
        </is>
      </c>
      <c r="W1189" t="inlineStr">
        <is>
          <t>2000-03-15</t>
        </is>
      </c>
      <c r="X1189" t="inlineStr">
        <is>
          <t>2000-03-15</t>
        </is>
      </c>
      <c r="Y1189" t="n">
        <v>375</v>
      </c>
      <c r="Z1189" t="n">
        <v>325</v>
      </c>
      <c r="AA1189" t="n">
        <v>331</v>
      </c>
      <c r="AB1189" t="n">
        <v>4</v>
      </c>
      <c r="AC1189" t="n">
        <v>4</v>
      </c>
      <c r="AD1189" t="n">
        <v>16</v>
      </c>
      <c r="AE1189" t="n">
        <v>16</v>
      </c>
      <c r="AF1189" t="n">
        <v>5</v>
      </c>
      <c r="AG1189" t="n">
        <v>5</v>
      </c>
      <c r="AH1189" t="n">
        <v>4</v>
      </c>
      <c r="AI1189" t="n">
        <v>4</v>
      </c>
      <c r="AJ1189" t="n">
        <v>7</v>
      </c>
      <c r="AK1189" t="n">
        <v>7</v>
      </c>
      <c r="AL1189" t="n">
        <v>3</v>
      </c>
      <c r="AM1189" t="n">
        <v>3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HYPERLINK("https://creighton-primo.hosted.exlibrisgroup.com/primo-explore/search?tab=default_tab&amp;search_scope=EVERYTHING&amp;vid=01CRU&amp;lang=en_US&amp;offset=0&amp;query=any,contains,991001926469702656","Catalog Record")</f>
        <v/>
      </c>
      <c r="AT1189">
        <f>HYPERLINK("http://www.worldcat.org/oclc/24320136","WorldCat Record")</f>
        <v/>
      </c>
      <c r="AU1189" t="inlineStr">
        <is>
          <t>476184798:eng</t>
        </is>
      </c>
      <c r="AV1189" t="inlineStr">
        <is>
          <t>24320136</t>
        </is>
      </c>
      <c r="AW1189" t="inlineStr">
        <is>
          <t>991001926469702656</t>
        </is>
      </c>
      <c r="AX1189" t="inlineStr">
        <is>
          <t>991001926469702656</t>
        </is>
      </c>
      <c r="AY1189" t="inlineStr">
        <is>
          <t>2272733490002656</t>
        </is>
      </c>
      <c r="AZ1189" t="inlineStr">
        <is>
          <t>BOOK</t>
        </is>
      </c>
      <c r="BB1189" t="inlineStr">
        <is>
          <t>9780807731314</t>
        </is>
      </c>
      <c r="BC1189" t="inlineStr">
        <is>
          <t>32285003669933</t>
        </is>
      </c>
      <c r="BD1189" t="inlineStr">
        <is>
          <t>893779202</t>
        </is>
      </c>
    </row>
    <row r="1190">
      <c r="A1190" t="inlineStr">
        <is>
          <t>No</t>
        </is>
      </c>
      <c r="B1190" t="inlineStr">
        <is>
          <t>HV854 .P76</t>
        </is>
      </c>
      <c r="C1190" t="inlineStr">
        <is>
          <t>0                      HV 0854000P  76</t>
        </is>
      </c>
      <c r="D1190" t="inlineStr">
        <is>
          <t>The challenge of daycare / Sally Provence, Audrey Naylor, June Patterson.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Provence, Sally, 1916-</t>
        </is>
      </c>
      <c r="L1190" t="inlineStr">
        <is>
          <t>New Haven : Yale University Press, 1977.</t>
        </is>
      </c>
      <c r="M1190" t="inlineStr">
        <is>
          <t>1977</t>
        </is>
      </c>
      <c r="O1190" t="inlineStr">
        <is>
          <t>eng</t>
        </is>
      </c>
      <c r="P1190" t="inlineStr">
        <is>
          <t>ctu</t>
        </is>
      </c>
      <c r="R1190" t="inlineStr">
        <is>
          <t xml:space="preserve">HV </t>
        </is>
      </c>
      <c r="S1190" t="n">
        <v>16</v>
      </c>
      <c r="T1190" t="n">
        <v>16</v>
      </c>
      <c r="U1190" t="inlineStr">
        <is>
          <t>1999-03-16</t>
        </is>
      </c>
      <c r="V1190" t="inlineStr">
        <is>
          <t>1999-03-16</t>
        </is>
      </c>
      <c r="W1190" t="inlineStr">
        <is>
          <t>1992-10-07</t>
        </is>
      </c>
      <c r="X1190" t="inlineStr">
        <is>
          <t>1992-10-07</t>
        </is>
      </c>
      <c r="Y1190" t="n">
        <v>886</v>
      </c>
      <c r="Z1190" t="n">
        <v>772</v>
      </c>
      <c r="AA1190" t="n">
        <v>773</v>
      </c>
      <c r="AB1190" t="n">
        <v>7</v>
      </c>
      <c r="AC1190" t="n">
        <v>7</v>
      </c>
      <c r="AD1190" t="n">
        <v>25</v>
      </c>
      <c r="AE1190" t="n">
        <v>25</v>
      </c>
      <c r="AF1190" t="n">
        <v>9</v>
      </c>
      <c r="AG1190" t="n">
        <v>9</v>
      </c>
      <c r="AH1190" t="n">
        <v>6</v>
      </c>
      <c r="AI1190" t="n">
        <v>6</v>
      </c>
      <c r="AJ1190" t="n">
        <v>12</v>
      </c>
      <c r="AK1190" t="n">
        <v>12</v>
      </c>
      <c r="AL1190" t="n">
        <v>4</v>
      </c>
      <c r="AM1190" t="n">
        <v>4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No</t>
        </is>
      </c>
      <c r="AS1190">
        <f>HYPERLINK("https://creighton-primo.hosted.exlibrisgroup.com/primo-explore/search?tab=default_tab&amp;search_scope=EVERYTHING&amp;vid=01CRU&amp;lang=en_US&amp;offset=0&amp;query=any,contains,991004124089702656","Catalog Record")</f>
        <v/>
      </c>
      <c r="AT1190">
        <f>HYPERLINK("http://www.worldcat.org/oclc/2439317","WorldCat Record")</f>
        <v/>
      </c>
      <c r="AU1190" t="inlineStr">
        <is>
          <t>435023:eng</t>
        </is>
      </c>
      <c r="AV1190" t="inlineStr">
        <is>
          <t>2439317</t>
        </is>
      </c>
      <c r="AW1190" t="inlineStr">
        <is>
          <t>991004124089702656</t>
        </is>
      </c>
      <c r="AX1190" t="inlineStr">
        <is>
          <t>991004124089702656</t>
        </is>
      </c>
      <c r="AY1190" t="inlineStr">
        <is>
          <t>2264156040002656</t>
        </is>
      </c>
      <c r="AZ1190" t="inlineStr">
        <is>
          <t>BOOK</t>
        </is>
      </c>
      <c r="BB1190" t="inlineStr">
        <is>
          <t>9780300019643</t>
        </is>
      </c>
      <c r="BC1190" t="inlineStr">
        <is>
          <t>32285001328045</t>
        </is>
      </c>
      <c r="BD1190" t="inlineStr">
        <is>
          <t>893519269</t>
        </is>
      </c>
    </row>
    <row r="1191">
      <c r="A1191" t="inlineStr">
        <is>
          <t>No</t>
        </is>
      </c>
      <c r="B1191" t="inlineStr">
        <is>
          <t>HV854 .S73</t>
        </is>
      </c>
      <c r="C1191" t="inlineStr">
        <is>
          <t>0                      HV 0854000S  73</t>
        </is>
      </c>
      <c r="D1191" t="inlineStr">
        <is>
          <t>Who's minding the children? : the history and politics of day care in America.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Steinfels, Margaret O'Brien, 1941-</t>
        </is>
      </c>
      <c r="L1191" t="inlineStr">
        <is>
          <t>New York : Simon and Schuster, [c1973]</t>
        </is>
      </c>
      <c r="M1191" t="inlineStr">
        <is>
          <t>1973</t>
        </is>
      </c>
      <c r="O1191" t="inlineStr">
        <is>
          <t>eng</t>
        </is>
      </c>
      <c r="P1191" t="inlineStr">
        <is>
          <t>nyu</t>
        </is>
      </c>
      <c r="R1191" t="inlineStr">
        <is>
          <t xml:space="preserve">HV </t>
        </is>
      </c>
      <c r="S1191" t="n">
        <v>9</v>
      </c>
      <c r="T1191" t="n">
        <v>9</v>
      </c>
      <c r="U1191" t="inlineStr">
        <is>
          <t>1998-12-04</t>
        </is>
      </c>
      <c r="V1191" t="inlineStr">
        <is>
          <t>1998-12-04</t>
        </is>
      </c>
      <c r="W1191" t="inlineStr">
        <is>
          <t>1990-11-19</t>
        </is>
      </c>
      <c r="X1191" t="inlineStr">
        <is>
          <t>1990-11-19</t>
        </is>
      </c>
      <c r="Y1191" t="n">
        <v>891</v>
      </c>
      <c r="Z1191" t="n">
        <v>821</v>
      </c>
      <c r="AA1191" t="n">
        <v>829</v>
      </c>
      <c r="AB1191" t="n">
        <v>9</v>
      </c>
      <c r="AC1191" t="n">
        <v>9</v>
      </c>
      <c r="AD1191" t="n">
        <v>28</v>
      </c>
      <c r="AE1191" t="n">
        <v>28</v>
      </c>
      <c r="AF1191" t="n">
        <v>8</v>
      </c>
      <c r="AG1191" t="n">
        <v>8</v>
      </c>
      <c r="AH1191" t="n">
        <v>4</v>
      </c>
      <c r="AI1191" t="n">
        <v>4</v>
      </c>
      <c r="AJ1191" t="n">
        <v>13</v>
      </c>
      <c r="AK1191" t="n">
        <v>13</v>
      </c>
      <c r="AL1191" t="n">
        <v>6</v>
      </c>
      <c r="AM1191" t="n">
        <v>6</v>
      </c>
      <c r="AN1191" t="n">
        <v>2</v>
      </c>
      <c r="AO1191" t="n">
        <v>2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HYPERLINK("http://catalog.hathitrust.org/Record/000013199","HathiTrust Record")</f>
        <v/>
      </c>
      <c r="AS1191">
        <f>HYPERLINK("https://creighton-primo.hosted.exlibrisgroup.com/primo-explore/search?tab=default_tab&amp;search_scope=EVERYTHING&amp;vid=01CRU&amp;lang=en_US&amp;offset=0&amp;query=any,contains,991003328029702656","Catalog Record")</f>
        <v/>
      </c>
      <c r="AT1191">
        <f>HYPERLINK("http://www.worldcat.org/oclc/858274","WorldCat Record")</f>
        <v/>
      </c>
      <c r="AU1191" t="inlineStr">
        <is>
          <t>1812967:eng</t>
        </is>
      </c>
      <c r="AV1191" t="inlineStr">
        <is>
          <t>858274</t>
        </is>
      </c>
      <c r="AW1191" t="inlineStr">
        <is>
          <t>991003328029702656</t>
        </is>
      </c>
      <c r="AX1191" t="inlineStr">
        <is>
          <t>991003328029702656</t>
        </is>
      </c>
      <c r="AY1191" t="inlineStr">
        <is>
          <t>2267214340002656</t>
        </is>
      </c>
      <c r="AZ1191" t="inlineStr">
        <is>
          <t>BOOK</t>
        </is>
      </c>
      <c r="BB1191" t="inlineStr">
        <is>
          <t>9780671215972</t>
        </is>
      </c>
      <c r="BC1191" t="inlineStr">
        <is>
          <t>32285000397447</t>
        </is>
      </c>
      <c r="BD1191" t="inlineStr">
        <is>
          <t>893617231</t>
        </is>
      </c>
    </row>
    <row r="1192">
      <c r="A1192" t="inlineStr">
        <is>
          <t>No</t>
        </is>
      </c>
      <c r="B1192" t="inlineStr">
        <is>
          <t>HV854 .T39 1993</t>
        </is>
      </c>
      <c r="C1192" t="inlineStr">
        <is>
          <t>0                      HV 0854000T  39          1993</t>
        </is>
      </c>
      <c r="D1192" t="inlineStr">
        <is>
          <t>Early childhood program management : people and procedures / Barbara J. Taylor.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K1192" t="inlineStr">
        <is>
          <t>Taylor, Barbara J.</t>
        </is>
      </c>
      <c r="L1192" t="inlineStr">
        <is>
          <t>New York : Merrill ; Toronto : Maxwell Macmillan Canada ; New York : Maxwell Macmillan International, 1993.</t>
        </is>
      </c>
      <c r="M1192" t="inlineStr">
        <is>
          <t>1993</t>
        </is>
      </c>
      <c r="N1192" t="inlineStr">
        <is>
          <t>2nd ed.</t>
        </is>
      </c>
      <c r="O1192" t="inlineStr">
        <is>
          <t>eng</t>
        </is>
      </c>
      <c r="P1192" t="inlineStr">
        <is>
          <t>nyu</t>
        </is>
      </c>
      <c r="R1192" t="inlineStr">
        <is>
          <t xml:space="preserve">HV </t>
        </is>
      </c>
      <c r="S1192" t="n">
        <v>11</v>
      </c>
      <c r="T1192" t="n">
        <v>11</v>
      </c>
      <c r="U1192" t="inlineStr">
        <is>
          <t>1997-03-10</t>
        </is>
      </c>
      <c r="V1192" t="inlineStr">
        <is>
          <t>1997-03-10</t>
        </is>
      </c>
      <c r="W1192" t="inlineStr">
        <is>
          <t>1993-05-06</t>
        </is>
      </c>
      <c r="X1192" t="inlineStr">
        <is>
          <t>1993-05-06</t>
        </is>
      </c>
      <c r="Y1192" t="n">
        <v>58</v>
      </c>
      <c r="Z1192" t="n">
        <v>50</v>
      </c>
      <c r="AA1192" t="n">
        <v>296</v>
      </c>
      <c r="AB1192" t="n">
        <v>1</v>
      </c>
      <c r="AC1192" t="n">
        <v>4</v>
      </c>
      <c r="AD1192" t="n">
        <v>3</v>
      </c>
      <c r="AE1192" t="n">
        <v>9</v>
      </c>
      <c r="AF1192" t="n">
        <v>0</v>
      </c>
      <c r="AG1192" t="n">
        <v>2</v>
      </c>
      <c r="AH1192" t="n">
        <v>1</v>
      </c>
      <c r="AI1192" t="n">
        <v>2</v>
      </c>
      <c r="AJ1192" t="n">
        <v>2</v>
      </c>
      <c r="AK1192" t="n">
        <v>3</v>
      </c>
      <c r="AL1192" t="n">
        <v>0</v>
      </c>
      <c r="AM1192" t="n">
        <v>3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HYPERLINK("http://catalog.hathitrust.org/Record/007559456","HathiTrust Record")</f>
        <v/>
      </c>
      <c r="AS1192">
        <f>HYPERLINK("https://creighton-primo.hosted.exlibrisgroup.com/primo-explore/search?tab=default_tab&amp;search_scope=EVERYTHING&amp;vid=01CRU&amp;lang=en_US&amp;offset=0&amp;query=any,contains,991002035359702656","Catalog Record")</f>
        <v/>
      </c>
      <c r="AT1192">
        <f>HYPERLINK("http://www.worldcat.org/oclc/25916056","WorldCat Record")</f>
        <v/>
      </c>
      <c r="AU1192" t="inlineStr">
        <is>
          <t>1952681:eng</t>
        </is>
      </c>
      <c r="AV1192" t="inlineStr">
        <is>
          <t>25916056</t>
        </is>
      </c>
      <c r="AW1192" t="inlineStr">
        <is>
          <t>991002035359702656</t>
        </is>
      </c>
      <c r="AX1192" t="inlineStr">
        <is>
          <t>991002035359702656</t>
        </is>
      </c>
      <c r="AY1192" t="inlineStr">
        <is>
          <t>2271262790002656</t>
        </is>
      </c>
      <c r="AZ1192" t="inlineStr">
        <is>
          <t>BOOK</t>
        </is>
      </c>
      <c r="BB1192" t="inlineStr">
        <is>
          <t>9780024197313</t>
        </is>
      </c>
      <c r="BC1192" t="inlineStr">
        <is>
          <t>32285001580744</t>
        </is>
      </c>
      <c r="BD1192" t="inlineStr">
        <is>
          <t>893244683</t>
        </is>
      </c>
    </row>
    <row r="1193">
      <c r="A1193" t="inlineStr">
        <is>
          <t>No</t>
        </is>
      </c>
      <c r="B1193" t="inlineStr">
        <is>
          <t>HV854 .W584 1986</t>
        </is>
      </c>
      <c r="C1193" t="inlineStr">
        <is>
          <t>0                      HV 0854000W  584         1986</t>
        </is>
      </c>
      <c r="D1193" t="inlineStr">
        <is>
          <t>Infants &amp; toddlers : curriculum and teaching / LaVisa Cam Wilson.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Wilson, LaVisa Cam.</t>
        </is>
      </c>
      <c r="L1193" t="inlineStr">
        <is>
          <t>Albany, N.Y. : Delmar, c1986.</t>
        </is>
      </c>
      <c r="M1193" t="inlineStr">
        <is>
          <t>1986</t>
        </is>
      </c>
      <c r="O1193" t="inlineStr">
        <is>
          <t>eng</t>
        </is>
      </c>
      <c r="P1193" t="inlineStr">
        <is>
          <t>nyu</t>
        </is>
      </c>
      <c r="R1193" t="inlineStr">
        <is>
          <t xml:space="preserve">HV </t>
        </is>
      </c>
      <c r="S1193" t="n">
        <v>7</v>
      </c>
      <c r="T1193" t="n">
        <v>7</v>
      </c>
      <c r="U1193" t="inlineStr">
        <is>
          <t>2003-02-02</t>
        </is>
      </c>
      <c r="V1193" t="inlineStr">
        <is>
          <t>2003-02-02</t>
        </is>
      </c>
      <c r="W1193" t="inlineStr">
        <is>
          <t>1990-02-26</t>
        </is>
      </c>
      <c r="X1193" t="inlineStr">
        <is>
          <t>1990-02-26</t>
        </is>
      </c>
      <c r="Y1193" t="n">
        <v>148</v>
      </c>
      <c r="Z1193" t="n">
        <v>121</v>
      </c>
      <c r="AA1193" t="n">
        <v>585</v>
      </c>
      <c r="AB1193" t="n">
        <v>2</v>
      </c>
      <c r="AC1193" t="n">
        <v>7</v>
      </c>
      <c r="AD1193" t="n">
        <v>4</v>
      </c>
      <c r="AE1193" t="n">
        <v>13</v>
      </c>
      <c r="AF1193" t="n">
        <v>1</v>
      </c>
      <c r="AG1193" t="n">
        <v>2</v>
      </c>
      <c r="AH1193" t="n">
        <v>0</v>
      </c>
      <c r="AI1193" t="n">
        <v>1</v>
      </c>
      <c r="AJ1193" t="n">
        <v>3</v>
      </c>
      <c r="AK1193" t="n">
        <v>6</v>
      </c>
      <c r="AL1193" t="n">
        <v>1</v>
      </c>
      <c r="AM1193" t="n">
        <v>6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HYPERLINK("https://creighton-primo.hosted.exlibrisgroup.com/primo-explore/search?tab=default_tab&amp;search_scope=EVERYTHING&amp;vid=01CRU&amp;lang=en_US&amp;offset=0&amp;query=any,contains,991000742159702656","Catalog Record")</f>
        <v/>
      </c>
      <c r="AT1193">
        <f>HYPERLINK("http://www.worldcat.org/oclc/12809544","WorldCat Record")</f>
        <v/>
      </c>
      <c r="AU1193" t="inlineStr">
        <is>
          <t>38258531:eng</t>
        </is>
      </c>
      <c r="AV1193" t="inlineStr">
        <is>
          <t>12809544</t>
        </is>
      </c>
      <c r="AW1193" t="inlineStr">
        <is>
          <t>991000742159702656</t>
        </is>
      </c>
      <c r="AX1193" t="inlineStr">
        <is>
          <t>991000742159702656</t>
        </is>
      </c>
      <c r="AY1193" t="inlineStr">
        <is>
          <t>2257827880002656</t>
        </is>
      </c>
      <c r="AZ1193" t="inlineStr">
        <is>
          <t>BOOK</t>
        </is>
      </c>
      <c r="BB1193" t="inlineStr">
        <is>
          <t>9780827322790</t>
        </is>
      </c>
      <c r="BC1193" t="inlineStr">
        <is>
          <t>32285000059500</t>
        </is>
      </c>
      <c r="BD1193" t="inlineStr">
        <is>
          <t>893784491</t>
        </is>
      </c>
    </row>
    <row r="1194">
      <c r="A1194" t="inlineStr">
        <is>
          <t>No</t>
        </is>
      </c>
      <c r="B1194" t="inlineStr">
        <is>
          <t>HV8551 .F2 1917</t>
        </is>
      </c>
      <c r="C1194" t="inlineStr">
        <is>
          <t>0                      HV 8551000F  2           1917</t>
        </is>
      </c>
      <c r="D1194" t="inlineStr">
        <is>
          <t>Selected articles on capital punishment.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Fanning, C. E. (Clara Elizabeth), 1878-1938 compiler.</t>
        </is>
      </c>
      <c r="L1194" t="inlineStr">
        <is>
          <t>White Plains, N.Y. ; New York city : The H.W. Wilson company, 1917.</t>
        </is>
      </c>
      <c r="M1194" t="inlineStr">
        <is>
          <t>1917</t>
        </is>
      </c>
      <c r="N1194" t="inlineStr">
        <is>
          <t>3d and rev. ed. / comp. by C. E. Fanning.</t>
        </is>
      </c>
      <c r="O1194" t="inlineStr">
        <is>
          <t>eng</t>
        </is>
      </c>
      <c r="P1194" t="inlineStr">
        <is>
          <t xml:space="preserve">xx </t>
        </is>
      </c>
      <c r="Q1194" t="inlineStr">
        <is>
          <t>Debaters' handbook series</t>
        </is>
      </c>
      <c r="R1194" t="inlineStr">
        <is>
          <t xml:space="preserve">HV </t>
        </is>
      </c>
      <c r="S1194" t="n">
        <v>22</v>
      </c>
      <c r="T1194" t="n">
        <v>22</v>
      </c>
      <c r="U1194" t="inlineStr">
        <is>
          <t>2000-10-09</t>
        </is>
      </c>
      <c r="V1194" t="inlineStr">
        <is>
          <t>2000-10-09</t>
        </is>
      </c>
      <c r="W1194" t="inlineStr">
        <is>
          <t>1992-05-19</t>
        </is>
      </c>
      <c r="X1194" t="inlineStr">
        <is>
          <t>1992-05-19</t>
        </is>
      </c>
      <c r="Y1194" t="n">
        <v>34</v>
      </c>
      <c r="Z1194" t="n">
        <v>32</v>
      </c>
      <c r="AA1194" t="n">
        <v>230</v>
      </c>
      <c r="AB1194" t="n">
        <v>1</v>
      </c>
      <c r="AC1194" t="n">
        <v>5</v>
      </c>
      <c r="AD1194" t="n">
        <v>1</v>
      </c>
      <c r="AE1194" t="n">
        <v>24</v>
      </c>
      <c r="AF1194" t="n">
        <v>0</v>
      </c>
      <c r="AG1194" t="n">
        <v>0</v>
      </c>
      <c r="AH1194" t="n">
        <v>1</v>
      </c>
      <c r="AI1194" t="n">
        <v>3</v>
      </c>
      <c r="AJ1194" t="n">
        <v>1</v>
      </c>
      <c r="AK1194" t="n">
        <v>3</v>
      </c>
      <c r="AL1194" t="n">
        <v>0</v>
      </c>
      <c r="AM1194" t="n">
        <v>3</v>
      </c>
      <c r="AN1194" t="n">
        <v>0</v>
      </c>
      <c r="AO1194" t="n">
        <v>16</v>
      </c>
      <c r="AP1194" t="inlineStr">
        <is>
          <t>No</t>
        </is>
      </c>
      <c r="AQ1194" t="inlineStr">
        <is>
          <t>No</t>
        </is>
      </c>
      <c r="AS1194">
        <f>HYPERLINK("https://creighton-primo.hosted.exlibrisgroup.com/primo-explore/search?tab=default_tab&amp;search_scope=EVERYTHING&amp;vid=01CRU&amp;lang=en_US&amp;offset=0&amp;query=any,contains,991004470539702656","Catalog Record")</f>
        <v/>
      </c>
      <c r="AT1194">
        <f>HYPERLINK("http://www.worldcat.org/oclc/3595552","WorldCat Record")</f>
        <v/>
      </c>
      <c r="AU1194" t="inlineStr">
        <is>
          <t>4949684:eng</t>
        </is>
      </c>
      <c r="AV1194" t="inlineStr">
        <is>
          <t>3595552</t>
        </is>
      </c>
      <c r="AW1194" t="inlineStr">
        <is>
          <t>991004470539702656</t>
        </is>
      </c>
      <c r="AX1194" t="inlineStr">
        <is>
          <t>991004470539702656</t>
        </is>
      </c>
      <c r="AY1194" t="inlineStr">
        <is>
          <t>2260176930002656</t>
        </is>
      </c>
      <c r="AZ1194" t="inlineStr">
        <is>
          <t>BOOK</t>
        </is>
      </c>
      <c r="BC1194" t="inlineStr">
        <is>
          <t>32285001117646</t>
        </is>
      </c>
      <c r="BD1194" t="inlineStr">
        <is>
          <t>893700282</t>
        </is>
      </c>
    </row>
    <row r="1195">
      <c r="A1195" t="inlineStr">
        <is>
          <t>No</t>
        </is>
      </c>
      <c r="B1195" t="inlineStr">
        <is>
          <t>HV8593 .A44 1975</t>
        </is>
      </c>
      <c r="C1195" t="inlineStr">
        <is>
          <t>0                      HV 8593000A  44          1975</t>
        </is>
      </c>
      <c r="D1195" t="inlineStr">
        <is>
          <t>Report on torture.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Amnesty International.</t>
        </is>
      </c>
      <c r="L1195" t="inlineStr">
        <is>
          <t>New York : Farrar, Straus and Giroux, 1975.</t>
        </is>
      </c>
      <c r="M1195" t="inlineStr">
        <is>
          <t>1975</t>
        </is>
      </c>
      <c r="N1195" t="inlineStr">
        <is>
          <t>[1st American ed.]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HV </t>
        </is>
      </c>
      <c r="S1195" t="n">
        <v>9</v>
      </c>
      <c r="T1195" t="n">
        <v>9</v>
      </c>
      <c r="U1195" t="inlineStr">
        <is>
          <t>1996-04-17</t>
        </is>
      </c>
      <c r="V1195" t="inlineStr">
        <is>
          <t>1996-04-17</t>
        </is>
      </c>
      <c r="W1195" t="inlineStr">
        <is>
          <t>1991-12-09</t>
        </is>
      </c>
      <c r="X1195" t="inlineStr">
        <is>
          <t>1991-12-09</t>
        </is>
      </c>
      <c r="Y1195" t="n">
        <v>516</v>
      </c>
      <c r="Z1195" t="n">
        <v>479</v>
      </c>
      <c r="AA1195" t="n">
        <v>558</v>
      </c>
      <c r="AB1195" t="n">
        <v>2</v>
      </c>
      <c r="AC1195" t="n">
        <v>2</v>
      </c>
      <c r="AD1195" t="n">
        <v>24</v>
      </c>
      <c r="AE1195" t="n">
        <v>24</v>
      </c>
      <c r="AF1195" t="n">
        <v>6</v>
      </c>
      <c r="AG1195" t="n">
        <v>6</v>
      </c>
      <c r="AH1195" t="n">
        <v>5</v>
      </c>
      <c r="AI1195" t="n">
        <v>5</v>
      </c>
      <c r="AJ1195" t="n">
        <v>12</v>
      </c>
      <c r="AK1195" t="n">
        <v>12</v>
      </c>
      <c r="AL1195" t="n">
        <v>1</v>
      </c>
      <c r="AM1195" t="n">
        <v>1</v>
      </c>
      <c r="AN1195" t="n">
        <v>6</v>
      </c>
      <c r="AO1195" t="n">
        <v>6</v>
      </c>
      <c r="AP1195" t="inlineStr">
        <is>
          <t>No</t>
        </is>
      </c>
      <c r="AQ1195" t="inlineStr">
        <is>
          <t>No</t>
        </is>
      </c>
      <c r="AS1195">
        <f>HYPERLINK("https://creighton-primo.hosted.exlibrisgroup.com/primo-explore/search?tab=default_tab&amp;search_scope=EVERYTHING&amp;vid=01CRU&amp;lang=en_US&amp;offset=0&amp;query=any,contains,991003418999702656","Catalog Record")</f>
        <v/>
      </c>
      <c r="AT1195">
        <f>HYPERLINK("http://www.worldcat.org/oclc/960114","WorldCat Record")</f>
        <v/>
      </c>
      <c r="AU1195" t="inlineStr">
        <is>
          <t>1867007:eng</t>
        </is>
      </c>
      <c r="AV1195" t="inlineStr">
        <is>
          <t>960114</t>
        </is>
      </c>
      <c r="AW1195" t="inlineStr">
        <is>
          <t>991003418999702656</t>
        </is>
      </c>
      <c r="AX1195" t="inlineStr">
        <is>
          <t>991003418999702656</t>
        </is>
      </c>
      <c r="AY1195" t="inlineStr">
        <is>
          <t>2259005630002656</t>
        </is>
      </c>
      <c r="AZ1195" t="inlineStr">
        <is>
          <t>BOOK</t>
        </is>
      </c>
      <c r="BB1195" t="inlineStr">
        <is>
          <t>9780374249373</t>
        </is>
      </c>
      <c r="BC1195" t="inlineStr">
        <is>
          <t>32285000838820</t>
        </is>
      </c>
      <c r="BD1195" t="inlineStr">
        <is>
          <t>893434978</t>
        </is>
      </c>
    </row>
    <row r="1196">
      <c r="A1196" t="inlineStr">
        <is>
          <t>No</t>
        </is>
      </c>
      <c r="B1196" t="inlineStr">
        <is>
          <t>HV8593 .M55 1994</t>
        </is>
      </c>
      <c r="C1196" t="inlineStr">
        <is>
          <t>0                      HV 8593000M  55          1994</t>
        </is>
      </c>
      <c r="D1196" t="inlineStr">
        <is>
          <t>The politics of cruelty : an essay on the literature of political imprisonment / Kate Millett.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Millett, Kate.</t>
        </is>
      </c>
      <c r="L1196" t="inlineStr">
        <is>
          <t>New York : Norton, c1994.</t>
        </is>
      </c>
      <c r="M1196" t="inlineStr">
        <is>
          <t>1994</t>
        </is>
      </c>
      <c r="N1196" t="inlineStr">
        <is>
          <t>1st ed.</t>
        </is>
      </c>
      <c r="O1196" t="inlineStr">
        <is>
          <t>eng</t>
        </is>
      </c>
      <c r="P1196" t="inlineStr">
        <is>
          <t>nyu</t>
        </is>
      </c>
      <c r="R1196" t="inlineStr">
        <is>
          <t xml:space="preserve">HV </t>
        </is>
      </c>
      <c r="S1196" t="n">
        <v>7</v>
      </c>
      <c r="T1196" t="n">
        <v>7</v>
      </c>
      <c r="U1196" t="inlineStr">
        <is>
          <t>2005-12-12</t>
        </is>
      </c>
      <c r="V1196" t="inlineStr">
        <is>
          <t>2005-12-12</t>
        </is>
      </c>
      <c r="W1196" t="inlineStr">
        <is>
          <t>1994-04-05</t>
        </is>
      </c>
      <c r="X1196" t="inlineStr">
        <is>
          <t>1994-04-05</t>
        </is>
      </c>
      <c r="Y1196" t="n">
        <v>768</v>
      </c>
      <c r="Z1196" t="n">
        <v>680</v>
      </c>
      <c r="AA1196" t="n">
        <v>751</v>
      </c>
      <c r="AB1196" t="n">
        <v>3</v>
      </c>
      <c r="AC1196" t="n">
        <v>3</v>
      </c>
      <c r="AD1196" t="n">
        <v>29</v>
      </c>
      <c r="AE1196" t="n">
        <v>31</v>
      </c>
      <c r="AF1196" t="n">
        <v>12</v>
      </c>
      <c r="AG1196" t="n">
        <v>13</v>
      </c>
      <c r="AH1196" t="n">
        <v>5</v>
      </c>
      <c r="AI1196" t="n">
        <v>7</v>
      </c>
      <c r="AJ1196" t="n">
        <v>16</v>
      </c>
      <c r="AK1196" t="n">
        <v>16</v>
      </c>
      <c r="AL1196" t="n">
        <v>2</v>
      </c>
      <c r="AM1196" t="n">
        <v>2</v>
      </c>
      <c r="AN1196" t="n">
        <v>2</v>
      </c>
      <c r="AO1196" t="n">
        <v>2</v>
      </c>
      <c r="AP1196" t="inlineStr">
        <is>
          <t>No</t>
        </is>
      </c>
      <c r="AQ1196" t="inlineStr">
        <is>
          <t>No</t>
        </is>
      </c>
      <c r="AS1196">
        <f>HYPERLINK("https://creighton-primo.hosted.exlibrisgroup.com/primo-explore/search?tab=default_tab&amp;search_scope=EVERYTHING&amp;vid=01CRU&amp;lang=en_US&amp;offset=0&amp;query=any,contains,991002239289702656","Catalog Record")</f>
        <v/>
      </c>
      <c r="AT1196">
        <f>HYPERLINK("http://www.worldcat.org/oclc/28888373","WorldCat Record")</f>
        <v/>
      </c>
      <c r="AU1196" t="inlineStr">
        <is>
          <t>31506271:eng</t>
        </is>
      </c>
      <c r="AV1196" t="inlineStr">
        <is>
          <t>28888373</t>
        </is>
      </c>
      <c r="AW1196" t="inlineStr">
        <is>
          <t>991002239289702656</t>
        </is>
      </c>
      <c r="AX1196" t="inlineStr">
        <is>
          <t>991002239289702656</t>
        </is>
      </c>
      <c r="AY1196" t="inlineStr">
        <is>
          <t>2264138690002656</t>
        </is>
      </c>
      <c r="AZ1196" t="inlineStr">
        <is>
          <t>BOOK</t>
        </is>
      </c>
      <c r="BB1196" t="inlineStr">
        <is>
          <t>9780393035759</t>
        </is>
      </c>
      <c r="BC1196" t="inlineStr">
        <is>
          <t>32285001859387</t>
        </is>
      </c>
      <c r="BD1196" t="inlineStr">
        <is>
          <t>893809380</t>
        </is>
      </c>
    </row>
    <row r="1197">
      <c r="A1197" t="inlineStr">
        <is>
          <t>No</t>
        </is>
      </c>
      <c r="B1197" t="inlineStr">
        <is>
          <t>HV8593 .P64 1995</t>
        </is>
      </c>
      <c r="C1197" t="inlineStr">
        <is>
          <t>0                      HV 8593000P  64          1995</t>
        </is>
      </c>
      <c r="D1197" t="inlineStr">
        <is>
          <t>The politics of pain : torturers and their masters / edited by Ronald D. Crelinsten and Alex P. Schmid.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L1197" t="inlineStr">
        <is>
          <t>Boulder, Colo. : Westview Press, 1995.</t>
        </is>
      </c>
      <c r="M1197" t="inlineStr">
        <is>
          <t>1995</t>
        </is>
      </c>
      <c r="O1197" t="inlineStr">
        <is>
          <t>eng</t>
        </is>
      </c>
      <c r="P1197" t="inlineStr">
        <is>
          <t>cou</t>
        </is>
      </c>
      <c r="Q1197" t="inlineStr">
        <is>
          <t>Series on state violence, state terrorism, and human rights</t>
        </is>
      </c>
      <c r="R1197" t="inlineStr">
        <is>
          <t xml:space="preserve">HV </t>
        </is>
      </c>
      <c r="S1197" t="n">
        <v>9</v>
      </c>
      <c r="T1197" t="n">
        <v>9</v>
      </c>
      <c r="U1197" t="inlineStr">
        <is>
          <t>2008-04-07</t>
        </is>
      </c>
      <c r="V1197" t="inlineStr">
        <is>
          <t>2008-04-07</t>
        </is>
      </c>
      <c r="W1197" t="inlineStr">
        <is>
          <t>1996-07-22</t>
        </is>
      </c>
      <c r="X1197" t="inlineStr">
        <is>
          <t>1996-07-22</t>
        </is>
      </c>
      <c r="Y1197" t="n">
        <v>215</v>
      </c>
      <c r="Z1197" t="n">
        <v>179</v>
      </c>
      <c r="AA1197" t="n">
        <v>277</v>
      </c>
      <c r="AB1197" t="n">
        <v>1</v>
      </c>
      <c r="AC1197" t="n">
        <v>1</v>
      </c>
      <c r="AD1197" t="n">
        <v>9</v>
      </c>
      <c r="AE1197" t="n">
        <v>12</v>
      </c>
      <c r="AF1197" t="n">
        <v>3</v>
      </c>
      <c r="AG1197" t="n">
        <v>4</v>
      </c>
      <c r="AH1197" t="n">
        <v>4</v>
      </c>
      <c r="AI1197" t="n">
        <v>4</v>
      </c>
      <c r="AJ1197" t="n">
        <v>5</v>
      </c>
      <c r="AK1197" t="n">
        <v>8</v>
      </c>
      <c r="AL1197" t="n">
        <v>0</v>
      </c>
      <c r="AM1197" t="n">
        <v>0</v>
      </c>
      <c r="AN1197" t="n">
        <v>0</v>
      </c>
      <c r="AO1197" t="n">
        <v>0</v>
      </c>
      <c r="AP1197" t="inlineStr">
        <is>
          <t>No</t>
        </is>
      </c>
      <c r="AQ1197" t="inlineStr">
        <is>
          <t>No</t>
        </is>
      </c>
      <c r="AS1197">
        <f>HYPERLINK("https://creighton-primo.hosted.exlibrisgroup.com/primo-explore/search?tab=default_tab&amp;search_scope=EVERYTHING&amp;vid=01CRU&amp;lang=en_US&amp;offset=0&amp;query=any,contains,991002450199702656","Catalog Record")</f>
        <v/>
      </c>
      <c r="AT1197">
        <f>HYPERLINK("http://www.worldcat.org/oclc/31955320","WorldCat Record")</f>
        <v/>
      </c>
      <c r="AU1197" t="inlineStr">
        <is>
          <t>866249199:eng</t>
        </is>
      </c>
      <c r="AV1197" t="inlineStr">
        <is>
          <t>31955320</t>
        </is>
      </c>
      <c r="AW1197" t="inlineStr">
        <is>
          <t>991002450199702656</t>
        </is>
      </c>
      <c r="AX1197" t="inlineStr">
        <is>
          <t>991002450199702656</t>
        </is>
      </c>
      <c r="AY1197" t="inlineStr">
        <is>
          <t>2263906080002656</t>
        </is>
      </c>
      <c r="AZ1197" t="inlineStr">
        <is>
          <t>BOOK</t>
        </is>
      </c>
      <c r="BB1197" t="inlineStr">
        <is>
          <t>9780813325279</t>
        </is>
      </c>
      <c r="BC1197" t="inlineStr">
        <is>
          <t>32285002207404</t>
        </is>
      </c>
      <c r="BD1197" t="inlineStr">
        <is>
          <t>893440158</t>
        </is>
      </c>
    </row>
    <row r="1198">
      <c r="A1198" t="inlineStr">
        <is>
          <t>No</t>
        </is>
      </c>
      <c r="B1198" t="inlineStr">
        <is>
          <t>HV8599.B7 C3813 1986</t>
        </is>
      </c>
      <c r="C1198" t="inlineStr">
        <is>
          <t>0                      HV 8599000B  7                  C  3813        1986</t>
        </is>
      </c>
      <c r="D1198" t="inlineStr">
        <is>
          <t>Torture in Brazil : a report / by the Archdiocese of Sao Paulo ; translated by Jaime Wright ; edited by Joan Dassin.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Catholic Church. Archdiocese of São Paulo (Brazil)</t>
        </is>
      </c>
      <c r="L1198" t="inlineStr">
        <is>
          <t>New York : Vintage Books, 1986.</t>
        </is>
      </c>
      <c r="M1198" t="inlineStr">
        <is>
          <t>1986</t>
        </is>
      </c>
      <c r="N1198" t="inlineStr">
        <is>
          <t>1st American ed.</t>
        </is>
      </c>
      <c r="O1198" t="inlineStr">
        <is>
          <t>eng</t>
        </is>
      </c>
      <c r="P1198" t="inlineStr">
        <is>
          <t>nyu</t>
        </is>
      </c>
      <c r="R1198" t="inlineStr">
        <is>
          <t xml:space="preserve">HV </t>
        </is>
      </c>
      <c r="S1198" t="n">
        <v>7</v>
      </c>
      <c r="T1198" t="n">
        <v>7</v>
      </c>
      <c r="U1198" t="inlineStr">
        <is>
          <t>2009-03-05</t>
        </is>
      </c>
      <c r="V1198" t="inlineStr">
        <is>
          <t>2009-03-05</t>
        </is>
      </c>
      <c r="W1198" t="inlineStr">
        <is>
          <t>1991-12-09</t>
        </is>
      </c>
      <c r="X1198" t="inlineStr">
        <is>
          <t>1991-12-09</t>
        </is>
      </c>
      <c r="Y1198" t="n">
        <v>493</v>
      </c>
      <c r="Z1198" t="n">
        <v>451</v>
      </c>
      <c r="AA1198" t="n">
        <v>455</v>
      </c>
      <c r="AB1198" t="n">
        <v>2</v>
      </c>
      <c r="AC1198" t="n">
        <v>2</v>
      </c>
      <c r="AD1198" t="n">
        <v>18</v>
      </c>
      <c r="AE1198" t="n">
        <v>18</v>
      </c>
      <c r="AF1198" t="n">
        <v>6</v>
      </c>
      <c r="AG1198" t="n">
        <v>6</v>
      </c>
      <c r="AH1198" t="n">
        <v>5</v>
      </c>
      <c r="AI1198" t="n">
        <v>5</v>
      </c>
      <c r="AJ1198" t="n">
        <v>10</v>
      </c>
      <c r="AK1198" t="n">
        <v>10</v>
      </c>
      <c r="AL1198" t="n">
        <v>1</v>
      </c>
      <c r="AM1198" t="n">
        <v>1</v>
      </c>
      <c r="AN1198" t="n">
        <v>1</v>
      </c>
      <c r="AO1198" t="n">
        <v>1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HYPERLINK("http://catalog.hathitrust.org/Record/000809444","HathiTrust Record")</f>
        <v/>
      </c>
      <c r="AS1198">
        <f>HYPERLINK("https://creighton-primo.hosted.exlibrisgroup.com/primo-explore/search?tab=default_tab&amp;search_scope=EVERYTHING&amp;vid=01CRU&amp;lang=en_US&amp;offset=0&amp;query=any,contains,991000853279702656","Catalog Record")</f>
        <v/>
      </c>
      <c r="AT1198">
        <f>HYPERLINK("http://www.worldcat.org/oclc/13642175","WorldCat Record")</f>
        <v/>
      </c>
      <c r="AU1198" t="inlineStr">
        <is>
          <t>2452689664:eng</t>
        </is>
      </c>
      <c r="AV1198" t="inlineStr">
        <is>
          <t>13642175</t>
        </is>
      </c>
      <c r="AW1198" t="inlineStr">
        <is>
          <t>991000853279702656</t>
        </is>
      </c>
      <c r="AX1198" t="inlineStr">
        <is>
          <t>991000853279702656</t>
        </is>
      </c>
      <c r="AY1198" t="inlineStr">
        <is>
          <t>2271877740002656</t>
        </is>
      </c>
      <c r="AZ1198" t="inlineStr">
        <is>
          <t>BOOK</t>
        </is>
      </c>
      <c r="BB1198" t="inlineStr">
        <is>
          <t>9780394744568</t>
        </is>
      </c>
      <c r="BC1198" t="inlineStr">
        <is>
          <t>32285000829415</t>
        </is>
      </c>
      <c r="BD1198" t="inlineStr">
        <is>
          <t>893614548</t>
        </is>
      </c>
    </row>
    <row r="1199">
      <c r="A1199" t="inlineStr">
        <is>
          <t>No</t>
        </is>
      </c>
      <c r="B1199" t="inlineStr">
        <is>
          <t>HV8599.I7 R45 1994</t>
        </is>
      </c>
      <c r="C1199" t="inlineStr">
        <is>
          <t>0                      HV 8599000I  7                  R  45          1994</t>
        </is>
      </c>
      <c r="D1199" t="inlineStr">
        <is>
          <t>Torture &amp; modernity : self, society, and state in modern Iran / Darius M. Rejali.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Rejali, Darius M.</t>
        </is>
      </c>
      <c r="L1199" t="inlineStr">
        <is>
          <t>Boulder : Westview Press, 1994.</t>
        </is>
      </c>
      <c r="M1199" t="inlineStr">
        <is>
          <t>1994</t>
        </is>
      </c>
      <c r="O1199" t="inlineStr">
        <is>
          <t>eng</t>
        </is>
      </c>
      <c r="P1199" t="inlineStr">
        <is>
          <t>cou</t>
        </is>
      </c>
      <c r="Q1199" t="inlineStr">
        <is>
          <t>Institutional structures of feeling</t>
        </is>
      </c>
      <c r="R1199" t="inlineStr">
        <is>
          <t xml:space="preserve">HV </t>
        </is>
      </c>
      <c r="S1199" t="n">
        <v>6</v>
      </c>
      <c r="T1199" t="n">
        <v>6</v>
      </c>
      <c r="U1199" t="inlineStr">
        <is>
          <t>2007-03-21</t>
        </is>
      </c>
      <c r="V1199" t="inlineStr">
        <is>
          <t>2007-03-21</t>
        </is>
      </c>
      <c r="W1199" t="inlineStr">
        <is>
          <t>1995-03-07</t>
        </is>
      </c>
      <c r="X1199" t="inlineStr">
        <is>
          <t>1995-03-07</t>
        </is>
      </c>
      <c r="Y1199" t="n">
        <v>316</v>
      </c>
      <c r="Z1199" t="n">
        <v>235</v>
      </c>
      <c r="AA1199" t="n">
        <v>245</v>
      </c>
      <c r="AB1199" t="n">
        <v>2</v>
      </c>
      <c r="AC1199" t="n">
        <v>2</v>
      </c>
      <c r="AD1199" t="n">
        <v>13</v>
      </c>
      <c r="AE1199" t="n">
        <v>13</v>
      </c>
      <c r="AF1199" t="n">
        <v>1</v>
      </c>
      <c r="AG1199" t="n">
        <v>1</v>
      </c>
      <c r="AH1199" t="n">
        <v>5</v>
      </c>
      <c r="AI1199" t="n">
        <v>5</v>
      </c>
      <c r="AJ1199" t="n">
        <v>8</v>
      </c>
      <c r="AK1199" t="n">
        <v>8</v>
      </c>
      <c r="AL1199" t="n">
        <v>1</v>
      </c>
      <c r="AM1199" t="n">
        <v>1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HYPERLINK("http://catalog.hathitrust.org/Record/002857997","HathiTrust Record")</f>
        <v/>
      </c>
      <c r="AS1199">
        <f>HYPERLINK("https://creighton-primo.hosted.exlibrisgroup.com/primo-explore/search?tab=default_tab&amp;search_scope=EVERYTHING&amp;vid=01CRU&amp;lang=en_US&amp;offset=0&amp;query=any,contains,991002194029702656","Catalog Record")</f>
        <v/>
      </c>
      <c r="AT1199">
        <f>HYPERLINK("http://www.worldcat.org/oclc/28215116","WorldCat Record")</f>
        <v/>
      </c>
      <c r="AU1199" t="inlineStr">
        <is>
          <t>345812141:eng</t>
        </is>
      </c>
      <c r="AV1199" t="inlineStr">
        <is>
          <t>28215116</t>
        </is>
      </c>
      <c r="AW1199" t="inlineStr">
        <is>
          <t>991002194029702656</t>
        </is>
      </c>
      <c r="AX1199" t="inlineStr">
        <is>
          <t>991002194029702656</t>
        </is>
      </c>
      <c r="AY1199" t="inlineStr">
        <is>
          <t>2265862040002656</t>
        </is>
      </c>
      <c r="AZ1199" t="inlineStr">
        <is>
          <t>BOOK</t>
        </is>
      </c>
      <c r="BB1199" t="inlineStr">
        <is>
          <t>9780813316604</t>
        </is>
      </c>
      <c r="BC1199" t="inlineStr">
        <is>
          <t>32285002001435</t>
        </is>
      </c>
      <c r="BD1199" t="inlineStr">
        <is>
          <t>893433589</t>
        </is>
      </c>
    </row>
    <row r="1200">
      <c r="A1200" t="inlineStr">
        <is>
          <t>No</t>
        </is>
      </c>
      <c r="B1200" t="inlineStr">
        <is>
          <t>HV861.D4 S513</t>
        </is>
      </c>
      <c r="C1200" t="inlineStr">
        <is>
          <t>0                      HV 0861000D  4                  S  513</t>
        </is>
      </c>
      <c r="D1200" t="inlineStr">
        <is>
          <t>Daycare institutions and children's development, translated from the Danish by W. Glyn Jones.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K1200" t="inlineStr">
        <is>
          <t>Sjølund, Arne.</t>
        </is>
      </c>
      <c r="L1200" t="inlineStr">
        <is>
          <t>Farnborough, Saxon House; Lexington, Mass., Lexington Books, 1973.</t>
        </is>
      </c>
      <c r="M1200" t="inlineStr">
        <is>
          <t>1973</t>
        </is>
      </c>
      <c r="O1200" t="inlineStr">
        <is>
          <t>eng</t>
        </is>
      </c>
      <c r="P1200" t="inlineStr">
        <is>
          <t>enk</t>
        </is>
      </c>
      <c r="R1200" t="inlineStr">
        <is>
          <t xml:space="preserve">HV </t>
        </is>
      </c>
      <c r="S1200" t="n">
        <v>11</v>
      </c>
      <c r="T1200" t="n">
        <v>11</v>
      </c>
      <c r="U1200" t="inlineStr">
        <is>
          <t>2005-02-21</t>
        </is>
      </c>
      <c r="V1200" t="inlineStr">
        <is>
          <t>2005-02-21</t>
        </is>
      </c>
      <c r="W1200" t="inlineStr">
        <is>
          <t>1997-08-21</t>
        </is>
      </c>
      <c r="X1200" t="inlineStr">
        <is>
          <t>1997-08-21</t>
        </is>
      </c>
      <c r="Y1200" t="n">
        <v>458</v>
      </c>
      <c r="Z1200" t="n">
        <v>364</v>
      </c>
      <c r="AA1200" t="n">
        <v>367</v>
      </c>
      <c r="AB1200" t="n">
        <v>3</v>
      </c>
      <c r="AC1200" t="n">
        <v>3</v>
      </c>
      <c r="AD1200" t="n">
        <v>14</v>
      </c>
      <c r="AE1200" t="n">
        <v>14</v>
      </c>
      <c r="AF1200" t="n">
        <v>5</v>
      </c>
      <c r="AG1200" t="n">
        <v>5</v>
      </c>
      <c r="AH1200" t="n">
        <v>4</v>
      </c>
      <c r="AI1200" t="n">
        <v>4</v>
      </c>
      <c r="AJ1200" t="n">
        <v>7</v>
      </c>
      <c r="AK1200" t="n">
        <v>7</v>
      </c>
      <c r="AL1200" t="n">
        <v>1</v>
      </c>
      <c r="AM1200" t="n">
        <v>1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Yes</t>
        </is>
      </c>
      <c r="AR1200">
        <f>HYPERLINK("http://catalog.hathitrust.org/Record/000016154","HathiTrust Record")</f>
        <v/>
      </c>
      <c r="AS1200">
        <f>HYPERLINK("https://creighton-primo.hosted.exlibrisgroup.com/primo-explore/search?tab=default_tab&amp;search_scope=EVERYTHING&amp;vid=01CRU&amp;lang=en_US&amp;offset=0&amp;query=any,contains,991003431009702656","Catalog Record")</f>
        <v/>
      </c>
      <c r="AT1200">
        <f>HYPERLINK("http://www.worldcat.org/oclc/965528","WorldCat Record")</f>
        <v/>
      </c>
      <c r="AU1200" t="inlineStr">
        <is>
          <t>1919811:eng</t>
        </is>
      </c>
      <c r="AV1200" t="inlineStr">
        <is>
          <t>965528</t>
        </is>
      </c>
      <c r="AW1200" t="inlineStr">
        <is>
          <t>991003431009702656</t>
        </is>
      </c>
      <c r="AX1200" t="inlineStr">
        <is>
          <t>991003431009702656</t>
        </is>
      </c>
      <c r="AY1200" t="inlineStr">
        <is>
          <t>2258221320002656</t>
        </is>
      </c>
      <c r="AZ1200" t="inlineStr">
        <is>
          <t>BOOK</t>
        </is>
      </c>
      <c r="BB1200" t="inlineStr">
        <is>
          <t>9780347010214</t>
        </is>
      </c>
      <c r="BC1200" t="inlineStr">
        <is>
          <t>32285003156576</t>
        </is>
      </c>
      <c r="BD1200" t="inlineStr">
        <is>
          <t>893246337</t>
        </is>
      </c>
    </row>
    <row r="1201">
      <c r="A1201" t="inlineStr">
        <is>
          <t>No</t>
        </is>
      </c>
      <c r="B1201" t="inlineStr">
        <is>
          <t>HV863 .K66 1991</t>
        </is>
      </c>
      <c r="C1201" t="inlineStr">
        <is>
          <t>0                      HV 0863000K  66          1991</t>
        </is>
      </c>
      <c r="D1201" t="inlineStr">
        <is>
          <t>Knowledge utilization in residential child and youth care practice / edited by Jerome Beker, Zvi Eisikovits.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L1201" t="inlineStr">
        <is>
          <t>Washington, D.C. : Child Welfare League of America, c1991.</t>
        </is>
      </c>
      <c r="M1201" t="inlineStr">
        <is>
          <t>1991</t>
        </is>
      </c>
      <c r="O1201" t="inlineStr">
        <is>
          <t>eng</t>
        </is>
      </c>
      <c r="P1201" t="inlineStr">
        <is>
          <t>dcu</t>
        </is>
      </c>
      <c r="R1201" t="inlineStr">
        <is>
          <t xml:space="preserve">HV </t>
        </is>
      </c>
      <c r="S1201" t="n">
        <v>7</v>
      </c>
      <c r="T1201" t="n">
        <v>7</v>
      </c>
      <c r="U1201" t="inlineStr">
        <is>
          <t>1997-12-05</t>
        </is>
      </c>
      <c r="V1201" t="inlineStr">
        <is>
          <t>1997-12-05</t>
        </is>
      </c>
      <c r="W1201" t="inlineStr">
        <is>
          <t>1992-08-05</t>
        </is>
      </c>
      <c r="X1201" t="inlineStr">
        <is>
          <t>1992-08-05</t>
        </is>
      </c>
      <c r="Y1201" t="n">
        <v>182</v>
      </c>
      <c r="Z1201" t="n">
        <v>134</v>
      </c>
      <c r="AA1201" t="n">
        <v>141</v>
      </c>
      <c r="AB1201" t="n">
        <v>2</v>
      </c>
      <c r="AC1201" t="n">
        <v>2</v>
      </c>
      <c r="AD1201" t="n">
        <v>5</v>
      </c>
      <c r="AE1201" t="n">
        <v>5</v>
      </c>
      <c r="AF1201" t="n">
        <v>0</v>
      </c>
      <c r="AG1201" t="n">
        <v>0</v>
      </c>
      <c r="AH1201" t="n">
        <v>1</v>
      </c>
      <c r="AI1201" t="n">
        <v>1</v>
      </c>
      <c r="AJ1201" t="n">
        <v>3</v>
      </c>
      <c r="AK1201" t="n">
        <v>3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HYPERLINK("http://catalog.hathitrust.org/Record/002619371","HathiTrust Record")</f>
        <v/>
      </c>
      <c r="AS1201">
        <f>HYPERLINK("https://creighton-primo.hosted.exlibrisgroup.com/primo-explore/search?tab=default_tab&amp;search_scope=EVERYTHING&amp;vid=01CRU&amp;lang=en_US&amp;offset=0&amp;query=any,contains,991001772679702656","Catalog Record")</f>
        <v/>
      </c>
      <c r="AT1201">
        <f>HYPERLINK("http://www.worldcat.org/oclc/22383186","WorldCat Record")</f>
        <v/>
      </c>
      <c r="AU1201" t="inlineStr">
        <is>
          <t>24414234:eng</t>
        </is>
      </c>
      <c r="AV1201" t="inlineStr">
        <is>
          <t>22383186</t>
        </is>
      </c>
      <c r="AW1201" t="inlineStr">
        <is>
          <t>991001772679702656</t>
        </is>
      </c>
      <c r="AX1201" t="inlineStr">
        <is>
          <t>991001772679702656</t>
        </is>
      </c>
      <c r="AY1201" t="inlineStr">
        <is>
          <t>2271673160002656</t>
        </is>
      </c>
      <c r="AZ1201" t="inlineStr">
        <is>
          <t>BOOK</t>
        </is>
      </c>
      <c r="BB1201" t="inlineStr">
        <is>
          <t>9780878684274</t>
        </is>
      </c>
      <c r="BC1201" t="inlineStr">
        <is>
          <t>32285001196731</t>
        </is>
      </c>
      <c r="BD1201" t="inlineStr">
        <is>
          <t>893328362</t>
        </is>
      </c>
    </row>
    <row r="1202">
      <c r="A1202" t="inlineStr">
        <is>
          <t>No</t>
        </is>
      </c>
      <c r="B1202" t="inlineStr">
        <is>
          <t>HV8658.H63 A36 1980b</t>
        </is>
      </c>
      <c r="C1202" t="inlineStr">
        <is>
          <t>0                      HV 8658000H  63                 A  36          1980b</t>
        </is>
      </c>
      <c r="D1202" t="inlineStr">
        <is>
          <t>Soon to be a major motion picture / Abbie Hoffman ; introd. by Norman Mailer.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Hoffman, Abbie.</t>
        </is>
      </c>
      <c r="L1202" t="inlineStr">
        <is>
          <t>New York : Putnam, c1980.</t>
        </is>
      </c>
      <c r="M1202" t="inlineStr">
        <is>
          <t>1980</t>
        </is>
      </c>
      <c r="O1202" t="inlineStr">
        <is>
          <t>eng</t>
        </is>
      </c>
      <c r="P1202" t="inlineStr">
        <is>
          <t>nyu</t>
        </is>
      </c>
      <c r="R1202" t="inlineStr">
        <is>
          <t xml:space="preserve">HV </t>
        </is>
      </c>
      <c r="S1202" t="n">
        <v>5</v>
      </c>
      <c r="T1202" t="n">
        <v>5</v>
      </c>
      <c r="U1202" t="inlineStr">
        <is>
          <t>1999-11-29</t>
        </is>
      </c>
      <c r="V1202" t="inlineStr">
        <is>
          <t>1999-11-29</t>
        </is>
      </c>
      <c r="W1202" t="inlineStr">
        <is>
          <t>1992-05-05</t>
        </is>
      </c>
      <c r="X1202" t="inlineStr">
        <is>
          <t>1992-05-05</t>
        </is>
      </c>
      <c r="Y1202" t="n">
        <v>326</v>
      </c>
      <c r="Z1202" t="n">
        <v>315</v>
      </c>
      <c r="AA1202" t="n">
        <v>656</v>
      </c>
      <c r="AB1202" t="n">
        <v>4</v>
      </c>
      <c r="AC1202" t="n">
        <v>6</v>
      </c>
      <c r="AD1202" t="n">
        <v>8</v>
      </c>
      <c r="AE1202" t="n">
        <v>19</v>
      </c>
      <c r="AF1202" t="n">
        <v>2</v>
      </c>
      <c r="AG1202" t="n">
        <v>4</v>
      </c>
      <c r="AH1202" t="n">
        <v>1</v>
      </c>
      <c r="AI1202" t="n">
        <v>4</v>
      </c>
      <c r="AJ1202" t="n">
        <v>4</v>
      </c>
      <c r="AK1202" t="n">
        <v>9</v>
      </c>
      <c r="AL1202" t="n">
        <v>2</v>
      </c>
      <c r="AM1202" t="n">
        <v>4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Yes</t>
        </is>
      </c>
      <c r="AR1202">
        <f>HYPERLINK("http://catalog.hathitrust.org/Record/000720665","HathiTrust Record")</f>
        <v/>
      </c>
      <c r="AS1202">
        <f>HYPERLINK("https://creighton-primo.hosted.exlibrisgroup.com/primo-explore/search?tab=default_tab&amp;search_scope=EVERYTHING&amp;vid=01CRU&amp;lang=en_US&amp;offset=0&amp;query=any,contains,991004990079702656","Catalog Record")</f>
        <v/>
      </c>
      <c r="AT1202">
        <f>HYPERLINK("http://www.worldcat.org/oclc/6486805","WorldCat Record")</f>
        <v/>
      </c>
      <c r="AU1202" t="inlineStr">
        <is>
          <t>479316:eng</t>
        </is>
      </c>
      <c r="AV1202" t="inlineStr">
        <is>
          <t>6486805</t>
        </is>
      </c>
      <c r="AW1202" t="inlineStr">
        <is>
          <t>991004990079702656</t>
        </is>
      </c>
      <c r="AX1202" t="inlineStr">
        <is>
          <t>991004990079702656</t>
        </is>
      </c>
      <c r="AY1202" t="inlineStr">
        <is>
          <t>2269665720002656</t>
        </is>
      </c>
      <c r="AZ1202" t="inlineStr">
        <is>
          <t>BOOK</t>
        </is>
      </c>
      <c r="BB1202" t="inlineStr">
        <is>
          <t>9780399125614</t>
        </is>
      </c>
      <c r="BC1202" t="inlineStr">
        <is>
          <t>32285001093888</t>
        </is>
      </c>
      <c r="BD1202" t="inlineStr">
        <is>
          <t>893895717</t>
        </is>
      </c>
    </row>
    <row r="1203">
      <c r="A1203" t="inlineStr">
        <is>
          <t>No</t>
        </is>
      </c>
      <c r="B1203" t="inlineStr">
        <is>
          <t>HV8665 .G47</t>
        </is>
      </c>
      <c r="C1203" t="inlineStr">
        <is>
          <t>0                      HV 8665000G  47</t>
        </is>
      </c>
      <c r="D1203" t="inlineStr">
        <is>
          <t>Crime, punishment, and deterrence / Jack P. Gibbs.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Gibbs, Jack P.</t>
        </is>
      </c>
      <c r="L1203" t="inlineStr">
        <is>
          <t>New York : Elsevier, [1975]</t>
        </is>
      </c>
      <c r="M1203" t="inlineStr">
        <is>
          <t>1975</t>
        </is>
      </c>
      <c r="O1203" t="inlineStr">
        <is>
          <t>eng</t>
        </is>
      </c>
      <c r="P1203" t="inlineStr">
        <is>
          <t>nyu</t>
        </is>
      </c>
      <c r="R1203" t="inlineStr">
        <is>
          <t xml:space="preserve">HV </t>
        </is>
      </c>
      <c r="S1203" t="n">
        <v>19</v>
      </c>
      <c r="T1203" t="n">
        <v>19</v>
      </c>
      <c r="U1203" t="inlineStr">
        <is>
          <t>2001-02-26</t>
        </is>
      </c>
      <c r="V1203" t="inlineStr">
        <is>
          <t>2001-02-26</t>
        </is>
      </c>
      <c r="W1203" t="inlineStr">
        <is>
          <t>1993-01-15</t>
        </is>
      </c>
      <c r="X1203" t="inlineStr">
        <is>
          <t>1993-01-15</t>
        </is>
      </c>
      <c r="Y1203" t="n">
        <v>621</v>
      </c>
      <c r="Z1203" t="n">
        <v>484</v>
      </c>
      <c r="AA1203" t="n">
        <v>486</v>
      </c>
      <c r="AB1203" t="n">
        <v>4</v>
      </c>
      <c r="AC1203" t="n">
        <v>4</v>
      </c>
      <c r="AD1203" t="n">
        <v>30</v>
      </c>
      <c r="AE1203" t="n">
        <v>30</v>
      </c>
      <c r="AF1203" t="n">
        <v>7</v>
      </c>
      <c r="AG1203" t="n">
        <v>7</v>
      </c>
      <c r="AH1203" t="n">
        <v>7</v>
      </c>
      <c r="AI1203" t="n">
        <v>7</v>
      </c>
      <c r="AJ1203" t="n">
        <v>13</v>
      </c>
      <c r="AK1203" t="n">
        <v>13</v>
      </c>
      <c r="AL1203" t="n">
        <v>1</v>
      </c>
      <c r="AM1203" t="n">
        <v>1</v>
      </c>
      <c r="AN1203" t="n">
        <v>8</v>
      </c>
      <c r="AO1203" t="n">
        <v>8</v>
      </c>
      <c r="AP1203" t="inlineStr">
        <is>
          <t>No</t>
        </is>
      </c>
      <c r="AQ1203" t="inlineStr">
        <is>
          <t>Yes</t>
        </is>
      </c>
      <c r="AR1203">
        <f>HYPERLINK("http://catalog.hathitrust.org/Record/000034592","HathiTrust Record")</f>
        <v/>
      </c>
      <c r="AS1203">
        <f>HYPERLINK("https://creighton-primo.hosted.exlibrisgroup.com/primo-explore/search?tab=default_tab&amp;search_scope=EVERYTHING&amp;vid=01CRU&amp;lang=en_US&amp;offset=0&amp;query=any,contains,991003785159702656","Catalog Record")</f>
        <v/>
      </c>
      <c r="AT1203">
        <f>HYPERLINK("http://www.worldcat.org/oclc/1500361","WorldCat Record")</f>
        <v/>
      </c>
      <c r="AU1203" t="inlineStr">
        <is>
          <t>2290617:eng</t>
        </is>
      </c>
      <c r="AV1203" t="inlineStr">
        <is>
          <t>1500361</t>
        </is>
      </c>
      <c r="AW1203" t="inlineStr">
        <is>
          <t>991003785159702656</t>
        </is>
      </c>
      <c r="AX1203" t="inlineStr">
        <is>
          <t>991003785159702656</t>
        </is>
      </c>
      <c r="AY1203" t="inlineStr">
        <is>
          <t>2260372250002656</t>
        </is>
      </c>
      <c r="AZ1203" t="inlineStr">
        <is>
          <t>BOOK</t>
        </is>
      </c>
      <c r="BB1203" t="inlineStr">
        <is>
          <t>9780444990167</t>
        </is>
      </c>
      <c r="BC1203" t="inlineStr">
        <is>
          <t>32285001475044</t>
        </is>
      </c>
      <c r="BD1203" t="inlineStr">
        <is>
          <t>893900358</t>
        </is>
      </c>
    </row>
    <row r="1204">
      <c r="A1204" t="inlineStr">
        <is>
          <t>No</t>
        </is>
      </c>
      <c r="B1204" t="inlineStr">
        <is>
          <t>HV8665 .I76</t>
        </is>
      </c>
      <c r="C1204" t="inlineStr">
        <is>
          <t>0                      HV 8665000I  76</t>
        </is>
      </c>
      <c r="D1204" t="inlineStr">
        <is>
          <t>The felon.</t>
        </is>
      </c>
      <c r="F1204" t="inlineStr">
        <is>
          <t>No</t>
        </is>
      </c>
      <c r="G1204" t="inlineStr">
        <is>
          <t>1</t>
        </is>
      </c>
      <c r="H1204" t="inlineStr">
        <is>
          <t>Yes</t>
        </is>
      </c>
      <c r="I1204" t="inlineStr">
        <is>
          <t>No</t>
        </is>
      </c>
      <c r="J1204" t="inlineStr">
        <is>
          <t>0</t>
        </is>
      </c>
      <c r="K1204" t="inlineStr">
        <is>
          <t>Irwin, John, 1929-</t>
        </is>
      </c>
      <c r="L1204" t="inlineStr">
        <is>
          <t>Englewood Cliffs, N.J. : Prentice-Hall, [1970]</t>
        </is>
      </c>
      <c r="M1204" t="inlineStr">
        <is>
          <t>1970</t>
        </is>
      </c>
      <c r="O1204" t="inlineStr">
        <is>
          <t>eng</t>
        </is>
      </c>
      <c r="P1204" t="inlineStr">
        <is>
          <t>nju</t>
        </is>
      </c>
      <c r="Q1204" t="inlineStr">
        <is>
          <t>A Spectrum book</t>
        </is>
      </c>
      <c r="R1204" t="inlineStr">
        <is>
          <t xml:space="preserve">HV </t>
        </is>
      </c>
      <c r="S1204" t="n">
        <v>2</v>
      </c>
      <c r="T1204" t="n">
        <v>2</v>
      </c>
      <c r="U1204" t="inlineStr">
        <is>
          <t>1992-12-30</t>
        </is>
      </c>
      <c r="V1204" t="inlineStr">
        <is>
          <t>1992-12-30</t>
        </is>
      </c>
      <c r="W1204" t="inlineStr">
        <is>
          <t>1992-11-24</t>
        </is>
      </c>
      <c r="X1204" t="inlineStr">
        <is>
          <t>1999-11-02</t>
        </is>
      </c>
      <c r="Y1204" t="n">
        <v>837</v>
      </c>
      <c r="Z1204" t="n">
        <v>706</v>
      </c>
      <c r="AA1204" t="n">
        <v>803</v>
      </c>
      <c r="AB1204" t="n">
        <v>9</v>
      </c>
      <c r="AC1204" t="n">
        <v>9</v>
      </c>
      <c r="AD1204" t="n">
        <v>34</v>
      </c>
      <c r="AE1204" t="n">
        <v>35</v>
      </c>
      <c r="AF1204" t="n">
        <v>10</v>
      </c>
      <c r="AG1204" t="n">
        <v>10</v>
      </c>
      <c r="AH1204" t="n">
        <v>8</v>
      </c>
      <c r="AI1204" t="n">
        <v>8</v>
      </c>
      <c r="AJ1204" t="n">
        <v>15</v>
      </c>
      <c r="AK1204" t="n">
        <v>15</v>
      </c>
      <c r="AL1204" t="n">
        <v>6</v>
      </c>
      <c r="AM1204" t="n">
        <v>6</v>
      </c>
      <c r="AN1204" t="n">
        <v>4</v>
      </c>
      <c r="AO1204" t="n">
        <v>5</v>
      </c>
      <c r="AP1204" t="inlineStr">
        <is>
          <t>No</t>
        </is>
      </c>
      <c r="AQ1204" t="inlineStr">
        <is>
          <t>Yes</t>
        </is>
      </c>
      <c r="AR1204">
        <f>HYPERLINK("http://catalog.hathitrust.org/Record/000000877","HathiTrust Record")</f>
        <v/>
      </c>
      <c r="AS1204">
        <f>HYPERLINK("https://creighton-primo.hosted.exlibrisgroup.com/primo-explore/search?tab=default_tab&amp;search_scope=EVERYTHING&amp;vid=01CRU&amp;lang=en_US&amp;offset=0&amp;query=any,contains,991001684919702656","Catalog Record")</f>
        <v/>
      </c>
      <c r="AT1204">
        <f>HYPERLINK("http://www.worldcat.org/oclc/74084","WorldCat Record")</f>
        <v/>
      </c>
      <c r="AU1204" t="inlineStr">
        <is>
          <t>1245837:eng</t>
        </is>
      </c>
      <c r="AV1204" t="inlineStr">
        <is>
          <t>74084</t>
        </is>
      </c>
      <c r="AW1204" t="inlineStr">
        <is>
          <t>991001684919702656</t>
        </is>
      </c>
      <c r="AX1204" t="inlineStr">
        <is>
          <t>991001684919702656</t>
        </is>
      </c>
      <c r="AY1204" t="inlineStr">
        <is>
          <t>2272019200002656</t>
        </is>
      </c>
      <c r="AZ1204" t="inlineStr">
        <is>
          <t>BOOK</t>
        </is>
      </c>
      <c r="BB1204" t="inlineStr">
        <is>
          <t>9780133142372</t>
        </is>
      </c>
      <c r="BC1204" t="inlineStr">
        <is>
          <t>32285001408821</t>
        </is>
      </c>
      <c r="BD1204" t="inlineStr">
        <is>
          <t>893626782</t>
        </is>
      </c>
    </row>
    <row r="1205">
      <c r="A1205" t="inlineStr">
        <is>
          <t>No</t>
        </is>
      </c>
      <c r="B1205" t="inlineStr">
        <is>
          <t>HV8665 .S4 1969</t>
        </is>
      </c>
      <c r="C1205" t="inlineStr">
        <is>
          <t>0                      HV 8665000S  4           1969</t>
        </is>
      </c>
      <c r="D1205" t="inlineStr">
        <is>
          <t>The crime of imprisonment / by George Bernard Shaw ; illustrated by William Gropper.</t>
        </is>
      </c>
      <c r="F1205" t="inlineStr">
        <is>
          <t>No</t>
        </is>
      </c>
      <c r="G1205" t="inlineStr">
        <is>
          <t>1</t>
        </is>
      </c>
      <c r="H1205" t="inlineStr">
        <is>
          <t>Yes</t>
        </is>
      </c>
      <c r="I1205" t="inlineStr">
        <is>
          <t>No</t>
        </is>
      </c>
      <c r="J1205" t="inlineStr">
        <is>
          <t>0</t>
        </is>
      </c>
      <c r="K1205" t="inlineStr">
        <is>
          <t>Shaw, Bernard, 1856-1950.</t>
        </is>
      </c>
      <c r="L1205" t="inlineStr">
        <is>
          <t>New York : Greenwood Press 1969, c1946.</t>
        </is>
      </c>
      <c r="M1205" t="inlineStr">
        <is>
          <t>1969</t>
        </is>
      </c>
      <c r="O1205" t="inlineStr">
        <is>
          <t>eng</t>
        </is>
      </c>
      <c r="P1205" t="inlineStr">
        <is>
          <t>nyu</t>
        </is>
      </c>
      <c r="R1205" t="inlineStr">
        <is>
          <t xml:space="preserve">HV </t>
        </is>
      </c>
      <c r="S1205" t="n">
        <v>2</v>
      </c>
      <c r="T1205" t="n">
        <v>2</v>
      </c>
      <c r="U1205" t="inlineStr">
        <is>
          <t>2001-12-04</t>
        </is>
      </c>
      <c r="V1205" t="inlineStr">
        <is>
          <t>2001-12-04</t>
        </is>
      </c>
      <c r="W1205" t="inlineStr">
        <is>
          <t>1997-08-25</t>
        </is>
      </c>
      <c r="X1205" t="inlineStr">
        <is>
          <t>2006-05-15</t>
        </is>
      </c>
      <c r="Y1205" t="n">
        <v>309</v>
      </c>
      <c r="Z1205" t="n">
        <v>266</v>
      </c>
      <c r="AA1205" t="n">
        <v>748</v>
      </c>
      <c r="AB1205" t="n">
        <v>5</v>
      </c>
      <c r="AC1205" t="n">
        <v>6</v>
      </c>
      <c r="AD1205" t="n">
        <v>19</v>
      </c>
      <c r="AE1205" t="n">
        <v>41</v>
      </c>
      <c r="AF1205" t="n">
        <v>5</v>
      </c>
      <c r="AG1205" t="n">
        <v>15</v>
      </c>
      <c r="AH1205" t="n">
        <v>3</v>
      </c>
      <c r="AI1205" t="n">
        <v>9</v>
      </c>
      <c r="AJ1205" t="n">
        <v>6</v>
      </c>
      <c r="AK1205" t="n">
        <v>12</v>
      </c>
      <c r="AL1205" t="n">
        <v>2</v>
      </c>
      <c r="AM1205" t="n">
        <v>3</v>
      </c>
      <c r="AN1205" t="n">
        <v>4</v>
      </c>
      <c r="AO1205" t="n">
        <v>9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HYPERLINK("http://catalog.hathitrust.org/Record/102069791","HathiTrust Record")</f>
        <v/>
      </c>
      <c r="AS1205">
        <f>HYPERLINK("https://creighton-primo.hosted.exlibrisgroup.com/primo-explore/search?tab=default_tab&amp;search_scope=EVERYTHING&amp;vid=01CRU&amp;lang=en_US&amp;offset=0&amp;query=any,contains,991001625539702656","Catalog Record")</f>
        <v/>
      </c>
      <c r="AT1205">
        <f>HYPERLINK("http://www.worldcat.org/oclc/204801","WorldCat Record")</f>
        <v/>
      </c>
      <c r="AU1205" t="inlineStr">
        <is>
          <t>1383413:eng</t>
        </is>
      </c>
      <c r="AV1205" t="inlineStr">
        <is>
          <t>204801</t>
        </is>
      </c>
      <c r="AW1205" t="inlineStr">
        <is>
          <t>991001625539702656</t>
        </is>
      </c>
      <c r="AX1205" t="inlineStr">
        <is>
          <t>991001625539702656</t>
        </is>
      </c>
      <c r="AY1205" t="inlineStr">
        <is>
          <t>2255579770002656</t>
        </is>
      </c>
      <c r="AZ1205" t="inlineStr">
        <is>
          <t>BOOK</t>
        </is>
      </c>
      <c r="BB1205" t="inlineStr">
        <is>
          <t>9780837122885</t>
        </is>
      </c>
      <c r="BC1205" t="inlineStr">
        <is>
          <t>32285003159117</t>
        </is>
      </c>
      <c r="BD1205" t="inlineStr">
        <is>
          <t>893878994</t>
        </is>
      </c>
    </row>
    <row r="1206">
      <c r="A1206" t="inlineStr">
        <is>
          <t>No</t>
        </is>
      </c>
      <c r="B1206" t="inlineStr">
        <is>
          <t>HV8665 .S66</t>
        </is>
      </c>
      <c r="C1206" t="inlineStr">
        <is>
          <t>0                      HV 8665000S  66</t>
        </is>
      </c>
      <c r="D1206" t="inlineStr">
        <is>
          <t>Community corrections / Hassim M. Solomon.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Solomon, Hassim M., 1934-</t>
        </is>
      </c>
      <c r="L1206" t="inlineStr">
        <is>
          <t>Boston : Holbrook Press, c1976.</t>
        </is>
      </c>
      <c r="M1206" t="inlineStr">
        <is>
          <t>1976</t>
        </is>
      </c>
      <c r="O1206" t="inlineStr">
        <is>
          <t>eng</t>
        </is>
      </c>
      <c r="P1206" t="inlineStr">
        <is>
          <t>mau</t>
        </is>
      </c>
      <c r="Q1206" t="inlineStr">
        <is>
          <t>Holbrook Press criminal justice series</t>
        </is>
      </c>
      <c r="R1206" t="inlineStr">
        <is>
          <t xml:space="preserve">HV </t>
        </is>
      </c>
      <c r="S1206" t="n">
        <v>6</v>
      </c>
      <c r="T1206" t="n">
        <v>6</v>
      </c>
      <c r="U1206" t="inlineStr">
        <is>
          <t>2001-10-31</t>
        </is>
      </c>
      <c r="V1206" t="inlineStr">
        <is>
          <t>2001-10-31</t>
        </is>
      </c>
      <c r="W1206" t="inlineStr">
        <is>
          <t>1992-07-14</t>
        </is>
      </c>
      <c r="X1206" t="inlineStr">
        <is>
          <t>1992-07-14</t>
        </is>
      </c>
      <c r="Y1206" t="n">
        <v>263</v>
      </c>
      <c r="Z1206" t="n">
        <v>224</v>
      </c>
      <c r="AA1206" t="n">
        <v>229</v>
      </c>
      <c r="AB1206" t="n">
        <v>5</v>
      </c>
      <c r="AC1206" t="n">
        <v>5</v>
      </c>
      <c r="AD1206" t="n">
        <v>15</v>
      </c>
      <c r="AE1206" t="n">
        <v>15</v>
      </c>
      <c r="AF1206" t="n">
        <v>5</v>
      </c>
      <c r="AG1206" t="n">
        <v>5</v>
      </c>
      <c r="AH1206" t="n">
        <v>1</v>
      </c>
      <c r="AI1206" t="n">
        <v>1</v>
      </c>
      <c r="AJ1206" t="n">
        <v>6</v>
      </c>
      <c r="AK1206" t="n">
        <v>6</v>
      </c>
      <c r="AL1206" t="n">
        <v>3</v>
      </c>
      <c r="AM1206" t="n">
        <v>3</v>
      </c>
      <c r="AN1206" t="n">
        <v>3</v>
      </c>
      <c r="AO1206" t="n">
        <v>3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HYPERLINK("https://creighton-primo.hosted.exlibrisgroup.com/primo-explore/search?tab=default_tab&amp;search_scope=EVERYTHING&amp;vid=01CRU&amp;lang=en_US&amp;offset=0&amp;query=any,contains,991003969619702656","Catalog Record")</f>
        <v/>
      </c>
      <c r="AT1206">
        <f>HYPERLINK("http://www.worldcat.org/oclc/1991320","WorldCat Record")</f>
        <v/>
      </c>
      <c r="AU1206" t="inlineStr">
        <is>
          <t>3307556:eng</t>
        </is>
      </c>
      <c r="AV1206" t="inlineStr">
        <is>
          <t>1991320</t>
        </is>
      </c>
      <c r="AW1206" t="inlineStr">
        <is>
          <t>991003969619702656</t>
        </is>
      </c>
      <c r="AX1206" t="inlineStr">
        <is>
          <t>991003969619702656</t>
        </is>
      </c>
      <c r="AY1206" t="inlineStr">
        <is>
          <t>2263943880002656</t>
        </is>
      </c>
      <c r="AZ1206" t="inlineStr">
        <is>
          <t>BOOK</t>
        </is>
      </c>
      <c r="BB1206" t="inlineStr">
        <is>
          <t>9780205049967</t>
        </is>
      </c>
      <c r="BC1206" t="inlineStr">
        <is>
          <t>32285001182962</t>
        </is>
      </c>
      <c r="BD1206" t="inlineStr">
        <is>
          <t>893627917</t>
        </is>
      </c>
    </row>
    <row r="1207">
      <c r="A1207" t="inlineStr">
        <is>
          <t>No</t>
        </is>
      </c>
      <c r="B1207" t="inlineStr">
        <is>
          <t>HV8665 .Z55</t>
        </is>
      </c>
      <c r="C1207" t="inlineStr">
        <is>
          <t>0                      HV 8665000Z  55</t>
        </is>
      </c>
      <c r="D1207" t="inlineStr">
        <is>
          <t>Deterrence : the legal threat in crime control / Franklin E. Zimring, Gordon J. Hawkins ; with a foreword by James Vorenberg.</t>
        </is>
      </c>
      <c r="F1207" t="inlineStr">
        <is>
          <t>No</t>
        </is>
      </c>
      <c r="G1207" t="inlineStr">
        <is>
          <t>1</t>
        </is>
      </c>
      <c r="H1207" t="inlineStr">
        <is>
          <t>Yes</t>
        </is>
      </c>
      <c r="I1207" t="inlineStr">
        <is>
          <t>No</t>
        </is>
      </c>
      <c r="J1207" t="inlineStr">
        <is>
          <t>0</t>
        </is>
      </c>
      <c r="K1207" t="inlineStr">
        <is>
          <t>Zimring, Franklin E.</t>
        </is>
      </c>
      <c r="L1207" t="inlineStr">
        <is>
          <t>Chicago : University of Chicago Press, 1973.</t>
        </is>
      </c>
      <c r="M1207" t="inlineStr">
        <is>
          <t>1973</t>
        </is>
      </c>
      <c r="O1207" t="inlineStr">
        <is>
          <t>eng</t>
        </is>
      </c>
      <c r="P1207" t="inlineStr">
        <is>
          <t>ilu</t>
        </is>
      </c>
      <c r="Q1207" t="inlineStr">
        <is>
          <t>Studies in crime and justice</t>
        </is>
      </c>
      <c r="R1207" t="inlineStr">
        <is>
          <t xml:space="preserve">HV </t>
        </is>
      </c>
      <c r="S1207" t="n">
        <v>8</v>
      </c>
      <c r="T1207" t="n">
        <v>8</v>
      </c>
      <c r="U1207" t="inlineStr">
        <is>
          <t>2010-12-05</t>
        </is>
      </c>
      <c r="V1207" t="inlineStr">
        <is>
          <t>2010-12-05</t>
        </is>
      </c>
      <c r="W1207" t="inlineStr">
        <is>
          <t>1993-11-23</t>
        </is>
      </c>
      <c r="X1207" t="inlineStr">
        <is>
          <t>2006-06-14</t>
        </is>
      </c>
      <c r="Y1207" t="n">
        <v>850</v>
      </c>
      <c r="Z1207" t="n">
        <v>699</v>
      </c>
      <c r="AA1207" t="n">
        <v>760</v>
      </c>
      <c r="AB1207" t="n">
        <v>8</v>
      </c>
      <c r="AC1207" t="n">
        <v>8</v>
      </c>
      <c r="AD1207" t="n">
        <v>40</v>
      </c>
      <c r="AE1207" t="n">
        <v>44</v>
      </c>
      <c r="AF1207" t="n">
        <v>10</v>
      </c>
      <c r="AG1207" t="n">
        <v>13</v>
      </c>
      <c r="AH1207" t="n">
        <v>7</v>
      </c>
      <c r="AI1207" t="n">
        <v>7</v>
      </c>
      <c r="AJ1207" t="n">
        <v>13</v>
      </c>
      <c r="AK1207" t="n">
        <v>15</v>
      </c>
      <c r="AL1207" t="n">
        <v>5</v>
      </c>
      <c r="AM1207" t="n">
        <v>5</v>
      </c>
      <c r="AN1207" t="n">
        <v>12</v>
      </c>
      <c r="AO1207" t="n">
        <v>13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HYPERLINK("https://creighton-primo.hosted.exlibrisgroup.com/primo-explore/search?tab=default_tab&amp;search_scope=EVERYTHING&amp;vid=01CRU&amp;lang=en_US&amp;offset=0&amp;query=any,contains,991001647559702656","Catalog Record")</f>
        <v/>
      </c>
      <c r="AT1207">
        <f>HYPERLINK("http://www.worldcat.org/oclc/1288969","WorldCat Record")</f>
        <v/>
      </c>
      <c r="AU1207" t="inlineStr">
        <is>
          <t>12334866:eng</t>
        </is>
      </c>
      <c r="AV1207" t="inlineStr">
        <is>
          <t>1288969</t>
        </is>
      </c>
      <c r="AW1207" t="inlineStr">
        <is>
          <t>991001647559702656</t>
        </is>
      </c>
      <c r="AX1207" t="inlineStr">
        <is>
          <t>991001647559702656</t>
        </is>
      </c>
      <c r="AY1207" t="inlineStr">
        <is>
          <t>2266795100002656</t>
        </is>
      </c>
      <c r="AZ1207" t="inlineStr">
        <is>
          <t>BOOK</t>
        </is>
      </c>
      <c r="BB1207" t="inlineStr">
        <is>
          <t>9780226983509</t>
        </is>
      </c>
      <c r="BC1207" t="inlineStr">
        <is>
          <t>32285001688489</t>
        </is>
      </c>
      <c r="BD1207" t="inlineStr">
        <is>
          <t>893879033</t>
        </is>
      </c>
    </row>
    <row r="1208">
      <c r="A1208" t="inlineStr">
        <is>
          <t>No</t>
        </is>
      </c>
      <c r="B1208" t="inlineStr">
        <is>
          <t>HV8675 .G77</t>
        </is>
      </c>
      <c r="C1208" t="inlineStr">
        <is>
          <t>0                      HV 8675000G  77</t>
        </is>
      </c>
      <c r="D1208" t="inlineStr">
        <is>
          <t>Theories of punishment / edited by Stanley E. Grupp.</t>
        </is>
      </c>
      <c r="F1208" t="inlineStr">
        <is>
          <t>No</t>
        </is>
      </c>
      <c r="G1208" t="inlineStr">
        <is>
          <t>1</t>
        </is>
      </c>
      <c r="H1208" t="inlineStr">
        <is>
          <t>Yes</t>
        </is>
      </c>
      <c r="I1208" t="inlineStr">
        <is>
          <t>No</t>
        </is>
      </c>
      <c r="J1208" t="inlineStr">
        <is>
          <t>0</t>
        </is>
      </c>
      <c r="K1208" t="inlineStr">
        <is>
          <t>Grupp, Stanley E., compiler.</t>
        </is>
      </c>
      <c r="L1208" t="inlineStr">
        <is>
          <t>Bloomington : Indiana University Press, [1972, c1971]</t>
        </is>
      </c>
      <c r="M1208" t="inlineStr">
        <is>
          <t>1972</t>
        </is>
      </c>
      <c r="O1208" t="inlineStr">
        <is>
          <t>eng</t>
        </is>
      </c>
      <c r="P1208" t="inlineStr">
        <is>
          <t>inu</t>
        </is>
      </c>
      <c r="R1208" t="inlineStr">
        <is>
          <t xml:space="preserve">HV </t>
        </is>
      </c>
      <c r="S1208" t="n">
        <v>16</v>
      </c>
      <c r="T1208" t="n">
        <v>17</v>
      </c>
      <c r="U1208" t="inlineStr">
        <is>
          <t>2007-04-23</t>
        </is>
      </c>
      <c r="V1208" t="inlineStr">
        <is>
          <t>2007-04-23</t>
        </is>
      </c>
      <c r="W1208" t="inlineStr">
        <is>
          <t>1990-04-25</t>
        </is>
      </c>
      <c r="X1208" t="inlineStr">
        <is>
          <t>1997-11-17</t>
        </is>
      </c>
      <c r="Y1208" t="n">
        <v>642</v>
      </c>
      <c r="Z1208" t="n">
        <v>582</v>
      </c>
      <c r="AA1208" t="n">
        <v>687</v>
      </c>
      <c r="AB1208" t="n">
        <v>8</v>
      </c>
      <c r="AC1208" t="n">
        <v>10</v>
      </c>
      <c r="AD1208" t="n">
        <v>39</v>
      </c>
      <c r="AE1208" t="n">
        <v>44</v>
      </c>
      <c r="AF1208" t="n">
        <v>12</v>
      </c>
      <c r="AG1208" t="n">
        <v>12</v>
      </c>
      <c r="AH1208" t="n">
        <v>9</v>
      </c>
      <c r="AI1208" t="n">
        <v>9</v>
      </c>
      <c r="AJ1208" t="n">
        <v>11</v>
      </c>
      <c r="AK1208" t="n">
        <v>13</v>
      </c>
      <c r="AL1208" t="n">
        <v>4</v>
      </c>
      <c r="AM1208" t="n">
        <v>6</v>
      </c>
      <c r="AN1208" t="n">
        <v>12</v>
      </c>
      <c r="AO1208" t="n">
        <v>13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HYPERLINK("http://catalog.hathitrust.org/Record/000003493","HathiTrust Record")</f>
        <v/>
      </c>
      <c r="AS1208">
        <f>HYPERLINK("https://creighton-primo.hosted.exlibrisgroup.com/primo-explore/search?tab=default_tab&amp;search_scope=EVERYTHING&amp;vid=01CRU&amp;lang=en_US&amp;offset=0&amp;query=any,contains,991001812429702656","Catalog Record")</f>
        <v/>
      </c>
      <c r="AT1208">
        <f>HYPERLINK("http://www.worldcat.org/oclc/240561","WorldCat Record")</f>
        <v/>
      </c>
      <c r="AU1208" t="inlineStr">
        <is>
          <t>1383382:eng</t>
        </is>
      </c>
      <c r="AV1208" t="inlineStr">
        <is>
          <t>240561</t>
        </is>
      </c>
      <c r="AW1208" t="inlineStr">
        <is>
          <t>991001812429702656</t>
        </is>
      </c>
      <c r="AX1208" t="inlineStr">
        <is>
          <t>991001812429702656</t>
        </is>
      </c>
      <c r="AY1208" t="inlineStr">
        <is>
          <t>2272154620002656</t>
        </is>
      </c>
      <c r="AZ1208" t="inlineStr">
        <is>
          <t>BOOK</t>
        </is>
      </c>
      <c r="BB1208" t="inlineStr">
        <is>
          <t>9780253359254</t>
        </is>
      </c>
      <c r="BC1208" t="inlineStr">
        <is>
          <t>32285000119072</t>
        </is>
      </c>
      <c r="BD1208" t="inlineStr">
        <is>
          <t>893772925</t>
        </is>
      </c>
    </row>
    <row r="1209">
      <c r="A1209" t="inlineStr">
        <is>
          <t>No</t>
        </is>
      </c>
      <c r="B1209" t="inlineStr">
        <is>
          <t>HV8675 .M34</t>
        </is>
      </c>
      <c r="C1209" t="inlineStr">
        <is>
          <t>0                      HV 8675000M  34</t>
        </is>
      </c>
      <c r="D1209" t="inlineStr">
        <is>
          <t>Perspectives on correction / edited by Donal E. J. MacNamara &amp; Edward Sagarin.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K1209" t="inlineStr">
        <is>
          <t>MacNamara, Donal E. J. compiler.</t>
        </is>
      </c>
      <c r="L1209" t="inlineStr">
        <is>
          <t>New York : Crowell, [1971]</t>
        </is>
      </c>
      <c r="M1209" t="inlineStr">
        <is>
          <t>1971</t>
        </is>
      </c>
      <c r="O1209" t="inlineStr">
        <is>
          <t>eng</t>
        </is>
      </c>
      <c r="P1209" t="inlineStr">
        <is>
          <t>nyu</t>
        </is>
      </c>
      <c r="Q1209" t="inlineStr">
        <is>
          <t>Selected studies in social problems</t>
        </is>
      </c>
      <c r="R1209" t="inlineStr">
        <is>
          <t xml:space="preserve">HV </t>
        </is>
      </c>
      <c r="S1209" t="n">
        <v>8</v>
      </c>
      <c r="T1209" t="n">
        <v>8</v>
      </c>
      <c r="U1209" t="inlineStr">
        <is>
          <t>2007-02-11</t>
        </is>
      </c>
      <c r="V1209" t="inlineStr">
        <is>
          <t>2007-02-11</t>
        </is>
      </c>
      <c r="W1209" t="inlineStr">
        <is>
          <t>1992-11-24</t>
        </is>
      </c>
      <c r="X1209" t="inlineStr">
        <is>
          <t>1992-11-24</t>
        </is>
      </c>
      <c r="Y1209" t="n">
        <v>327</v>
      </c>
      <c r="Z1209" t="n">
        <v>288</v>
      </c>
      <c r="AA1209" t="n">
        <v>289</v>
      </c>
      <c r="AB1209" t="n">
        <v>4</v>
      </c>
      <c r="AC1209" t="n">
        <v>4</v>
      </c>
      <c r="AD1209" t="n">
        <v>18</v>
      </c>
      <c r="AE1209" t="n">
        <v>18</v>
      </c>
      <c r="AF1209" t="n">
        <v>5</v>
      </c>
      <c r="AG1209" t="n">
        <v>5</v>
      </c>
      <c r="AH1209" t="n">
        <v>3</v>
      </c>
      <c r="AI1209" t="n">
        <v>3</v>
      </c>
      <c r="AJ1209" t="n">
        <v>4</v>
      </c>
      <c r="AK1209" t="n">
        <v>4</v>
      </c>
      <c r="AL1209" t="n">
        <v>3</v>
      </c>
      <c r="AM1209" t="n">
        <v>3</v>
      </c>
      <c r="AN1209" t="n">
        <v>4</v>
      </c>
      <c r="AO1209" t="n">
        <v>4</v>
      </c>
      <c r="AP1209" t="inlineStr">
        <is>
          <t>No</t>
        </is>
      </c>
      <c r="AQ1209" t="inlineStr">
        <is>
          <t>No</t>
        </is>
      </c>
      <c r="AS1209">
        <f>HYPERLINK("https://creighton-primo.hosted.exlibrisgroup.com/primo-explore/search?tab=default_tab&amp;search_scope=EVERYTHING&amp;vid=01CRU&amp;lang=en_US&amp;offset=0&amp;query=any,contains,991000683349702656","Catalog Record")</f>
        <v/>
      </c>
      <c r="AT1209">
        <f>HYPERLINK("http://www.worldcat.org/oclc/122580","WorldCat Record")</f>
        <v/>
      </c>
      <c r="AU1209" t="inlineStr">
        <is>
          <t>1245220:eng</t>
        </is>
      </c>
      <c r="AV1209" t="inlineStr">
        <is>
          <t>122580</t>
        </is>
      </c>
      <c r="AW1209" t="inlineStr">
        <is>
          <t>991000683349702656</t>
        </is>
      </c>
      <c r="AX1209" t="inlineStr">
        <is>
          <t>991000683349702656</t>
        </is>
      </c>
      <c r="AY1209" t="inlineStr">
        <is>
          <t>2260926970002656</t>
        </is>
      </c>
      <c r="AZ1209" t="inlineStr">
        <is>
          <t>BOOK</t>
        </is>
      </c>
      <c r="BB1209" t="inlineStr">
        <is>
          <t>9780690615364</t>
        </is>
      </c>
      <c r="BC1209" t="inlineStr">
        <is>
          <t>32285001408813</t>
        </is>
      </c>
      <c r="BD1209" t="inlineStr">
        <is>
          <t>893696060</t>
        </is>
      </c>
    </row>
    <row r="1210">
      <c r="A1210" t="inlineStr">
        <is>
          <t>No</t>
        </is>
      </c>
      <c r="B1210" t="inlineStr">
        <is>
          <t>HV8675 .N4</t>
        </is>
      </c>
      <c r="C1210" t="inlineStr">
        <is>
          <t>0                      HV 8675000N  4</t>
        </is>
      </c>
      <c r="D1210" t="inlineStr">
        <is>
          <t>The punishment response / Graeme Newman.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Newman, Graeme R.</t>
        </is>
      </c>
      <c r="L1210" t="inlineStr">
        <is>
          <t>Philadelphia : Lippincott, c1978.</t>
        </is>
      </c>
      <c r="M1210" t="inlineStr">
        <is>
          <t>1978</t>
        </is>
      </c>
      <c r="O1210" t="inlineStr">
        <is>
          <t>eng</t>
        </is>
      </c>
      <c r="P1210" t="inlineStr">
        <is>
          <t>pau</t>
        </is>
      </c>
      <c r="R1210" t="inlineStr">
        <is>
          <t xml:space="preserve">HV </t>
        </is>
      </c>
      <c r="S1210" t="n">
        <v>16</v>
      </c>
      <c r="T1210" t="n">
        <v>16</v>
      </c>
      <c r="U1210" t="inlineStr">
        <is>
          <t>1996-10-30</t>
        </is>
      </c>
      <c r="V1210" t="inlineStr">
        <is>
          <t>1996-10-30</t>
        </is>
      </c>
      <c r="W1210" t="inlineStr">
        <is>
          <t>1990-04-23</t>
        </is>
      </c>
      <c r="X1210" t="inlineStr">
        <is>
          <t>1990-04-23</t>
        </is>
      </c>
      <c r="Y1210" t="n">
        <v>578</v>
      </c>
      <c r="Z1210" t="n">
        <v>514</v>
      </c>
      <c r="AA1210" t="n">
        <v>645</v>
      </c>
      <c r="AB1210" t="n">
        <v>3</v>
      </c>
      <c r="AC1210" t="n">
        <v>4</v>
      </c>
      <c r="AD1210" t="n">
        <v>21</v>
      </c>
      <c r="AE1210" t="n">
        <v>28</v>
      </c>
      <c r="AF1210" t="n">
        <v>4</v>
      </c>
      <c r="AG1210" t="n">
        <v>5</v>
      </c>
      <c r="AH1210" t="n">
        <v>5</v>
      </c>
      <c r="AI1210" t="n">
        <v>8</v>
      </c>
      <c r="AJ1210" t="n">
        <v>6</v>
      </c>
      <c r="AK1210" t="n">
        <v>11</v>
      </c>
      <c r="AL1210" t="n">
        <v>2</v>
      </c>
      <c r="AM1210" t="n">
        <v>3</v>
      </c>
      <c r="AN1210" t="n">
        <v>6</v>
      </c>
      <c r="AO1210" t="n">
        <v>7</v>
      </c>
      <c r="AP1210" t="inlineStr">
        <is>
          <t>No</t>
        </is>
      </c>
      <c r="AQ1210" t="inlineStr">
        <is>
          <t>Yes</t>
        </is>
      </c>
      <c r="AR1210">
        <f>HYPERLINK("http://catalog.hathitrust.org/Record/000087457","HathiTrust Record")</f>
        <v/>
      </c>
      <c r="AS1210">
        <f>HYPERLINK("https://creighton-primo.hosted.exlibrisgroup.com/primo-explore/search?tab=default_tab&amp;search_scope=EVERYTHING&amp;vid=01CRU&amp;lang=en_US&amp;offset=0&amp;query=any,contains,991004445809702656","Catalog Record")</f>
        <v/>
      </c>
      <c r="AT1210">
        <f>HYPERLINK("http://www.worldcat.org/oclc/3481439","WorldCat Record")</f>
        <v/>
      </c>
      <c r="AU1210" t="inlineStr">
        <is>
          <t>5747854:eng</t>
        </is>
      </c>
      <c r="AV1210" t="inlineStr">
        <is>
          <t>3481439</t>
        </is>
      </c>
      <c r="AW1210" t="inlineStr">
        <is>
          <t>991004445809702656</t>
        </is>
      </c>
      <c r="AX1210" t="inlineStr">
        <is>
          <t>991004445809702656</t>
        </is>
      </c>
      <c r="AY1210" t="inlineStr">
        <is>
          <t>2264459210002656</t>
        </is>
      </c>
      <c r="AZ1210" t="inlineStr">
        <is>
          <t>BOOK</t>
        </is>
      </c>
      <c r="BB1210" t="inlineStr">
        <is>
          <t>9780397473816</t>
        </is>
      </c>
      <c r="BC1210" t="inlineStr">
        <is>
          <t>32285000130863</t>
        </is>
      </c>
      <c r="BD1210" t="inlineStr">
        <is>
          <t>893901244</t>
        </is>
      </c>
    </row>
    <row r="1211">
      <c r="A1211" t="inlineStr">
        <is>
          <t>No</t>
        </is>
      </c>
      <c r="B1211" t="inlineStr">
        <is>
          <t>HV8675 .P5</t>
        </is>
      </c>
      <c r="C1211" t="inlineStr">
        <is>
          <t>0                      HV 8675000P  5</t>
        </is>
      </c>
      <c r="D1211" t="inlineStr">
        <is>
          <t>Philosophical perspectives on punishment / compiled and edited by Edward H. Madden, Rollo Handy and Marvin Farber.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L1211" t="inlineStr">
        <is>
          <t>Springfield, Ill. : Thomas, [1968]</t>
        </is>
      </c>
      <c r="M1211" t="inlineStr">
        <is>
          <t>1968</t>
        </is>
      </c>
      <c r="O1211" t="inlineStr">
        <is>
          <t>eng</t>
        </is>
      </c>
      <c r="P1211" t="inlineStr">
        <is>
          <t>ilu</t>
        </is>
      </c>
      <c r="Q1211" t="inlineStr">
        <is>
          <t>American lecture series, publication no. 697. A monograph in the Bannerstone division of American lectures in philosophy</t>
        </is>
      </c>
      <c r="R1211" t="inlineStr">
        <is>
          <t xml:space="preserve">HV </t>
        </is>
      </c>
      <c r="S1211" t="n">
        <v>24</v>
      </c>
      <c r="T1211" t="n">
        <v>24</v>
      </c>
      <c r="U1211" t="inlineStr">
        <is>
          <t>2003-05-21</t>
        </is>
      </c>
      <c r="V1211" t="inlineStr">
        <is>
          <t>2003-05-21</t>
        </is>
      </c>
      <c r="W1211" t="inlineStr">
        <is>
          <t>1991-12-13</t>
        </is>
      </c>
      <c r="X1211" t="inlineStr">
        <is>
          <t>1991-12-13</t>
        </is>
      </c>
      <c r="Y1211" t="n">
        <v>440</v>
      </c>
      <c r="Z1211" t="n">
        <v>372</v>
      </c>
      <c r="AA1211" t="n">
        <v>379</v>
      </c>
      <c r="AB1211" t="n">
        <v>4</v>
      </c>
      <c r="AC1211" t="n">
        <v>4</v>
      </c>
      <c r="AD1211" t="n">
        <v>21</v>
      </c>
      <c r="AE1211" t="n">
        <v>21</v>
      </c>
      <c r="AF1211" t="n">
        <v>6</v>
      </c>
      <c r="AG1211" t="n">
        <v>6</v>
      </c>
      <c r="AH1211" t="n">
        <v>5</v>
      </c>
      <c r="AI1211" t="n">
        <v>5</v>
      </c>
      <c r="AJ1211" t="n">
        <v>7</v>
      </c>
      <c r="AK1211" t="n">
        <v>7</v>
      </c>
      <c r="AL1211" t="n">
        <v>2</v>
      </c>
      <c r="AM1211" t="n">
        <v>2</v>
      </c>
      <c r="AN1211" t="n">
        <v>5</v>
      </c>
      <c r="AO1211" t="n">
        <v>5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HYPERLINK("http://catalog.hathitrust.org/Record/000881549","HathiTrust Record")</f>
        <v/>
      </c>
      <c r="AS1211">
        <f>HYPERLINK("https://creighton-primo.hosted.exlibrisgroup.com/primo-explore/search?tab=default_tab&amp;search_scope=EVERYTHING&amp;vid=01CRU&amp;lang=en_US&amp;offset=0&amp;query=any,contains,991003185069702656","Catalog Record")</f>
        <v/>
      </c>
      <c r="AT1211">
        <f>HYPERLINK("http://www.worldcat.org/oclc/712565","WorldCat Record")</f>
        <v/>
      </c>
      <c r="AU1211" t="inlineStr">
        <is>
          <t>422819534:eng</t>
        </is>
      </c>
      <c r="AV1211" t="inlineStr">
        <is>
          <t>712565</t>
        </is>
      </c>
      <c r="AW1211" t="inlineStr">
        <is>
          <t>991003185069702656</t>
        </is>
      </c>
      <c r="AX1211" t="inlineStr">
        <is>
          <t>991003185069702656</t>
        </is>
      </c>
      <c r="AY1211" t="inlineStr">
        <is>
          <t>2256676080002656</t>
        </is>
      </c>
      <c r="AZ1211" t="inlineStr">
        <is>
          <t>BOOK</t>
        </is>
      </c>
      <c r="BC1211" t="inlineStr">
        <is>
          <t>32285000876416</t>
        </is>
      </c>
      <c r="BD1211" t="inlineStr">
        <is>
          <t>893698732</t>
        </is>
      </c>
    </row>
    <row r="1212">
      <c r="A1212" t="inlineStr">
        <is>
          <t>No</t>
        </is>
      </c>
      <c r="B1212" t="inlineStr">
        <is>
          <t>HV8675 .P75 1989</t>
        </is>
      </c>
      <c r="C1212" t="inlineStr">
        <is>
          <t>0                      HV 8675000P  75          1989</t>
        </is>
      </c>
      <c r="D1212" t="inlineStr">
        <is>
          <t>Justifying legal punishment / Igor Primoratz.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Primoratz, Igor.</t>
        </is>
      </c>
      <c r="L1212" t="inlineStr">
        <is>
          <t>Atlantic Highlands, N.J. : Humanities Press International, 1989.</t>
        </is>
      </c>
      <c r="M1212" t="inlineStr">
        <is>
          <t>1989</t>
        </is>
      </c>
      <c r="O1212" t="inlineStr">
        <is>
          <t>eng</t>
        </is>
      </c>
      <c r="P1212" t="inlineStr">
        <is>
          <t>nju</t>
        </is>
      </c>
      <c r="Q1212" t="inlineStr">
        <is>
          <t>Studies in applied philosophy</t>
        </is>
      </c>
      <c r="R1212" t="inlineStr">
        <is>
          <t xml:space="preserve">HV </t>
        </is>
      </c>
      <c r="S1212" t="n">
        <v>33</v>
      </c>
      <c r="T1212" t="n">
        <v>33</v>
      </c>
      <c r="U1212" t="inlineStr">
        <is>
          <t>2007-04-23</t>
        </is>
      </c>
      <c r="V1212" t="inlineStr">
        <is>
          <t>2007-04-23</t>
        </is>
      </c>
      <c r="W1212" t="inlineStr">
        <is>
          <t>1990-05-17</t>
        </is>
      </c>
      <c r="X1212" t="inlineStr">
        <is>
          <t>1990-05-17</t>
        </is>
      </c>
      <c r="Y1212" t="n">
        <v>512</v>
      </c>
      <c r="Z1212" t="n">
        <v>430</v>
      </c>
      <c r="AA1212" t="n">
        <v>503</v>
      </c>
      <c r="AB1212" t="n">
        <v>1</v>
      </c>
      <c r="AC1212" t="n">
        <v>1</v>
      </c>
      <c r="AD1212" t="n">
        <v>28</v>
      </c>
      <c r="AE1212" t="n">
        <v>33</v>
      </c>
      <c r="AF1212" t="n">
        <v>7</v>
      </c>
      <c r="AG1212" t="n">
        <v>9</v>
      </c>
      <c r="AH1212" t="n">
        <v>5</v>
      </c>
      <c r="AI1212" t="n">
        <v>6</v>
      </c>
      <c r="AJ1212" t="n">
        <v>8</v>
      </c>
      <c r="AK1212" t="n">
        <v>10</v>
      </c>
      <c r="AL1212" t="n">
        <v>0</v>
      </c>
      <c r="AM1212" t="n">
        <v>0</v>
      </c>
      <c r="AN1212" t="n">
        <v>11</v>
      </c>
      <c r="AO1212" t="n">
        <v>12</v>
      </c>
      <c r="AP1212" t="inlineStr">
        <is>
          <t>No</t>
        </is>
      </c>
      <c r="AQ1212" t="inlineStr">
        <is>
          <t>No</t>
        </is>
      </c>
      <c r="AS1212">
        <f>HYPERLINK("https://creighton-primo.hosted.exlibrisgroup.com/primo-explore/search?tab=default_tab&amp;search_scope=EVERYTHING&amp;vid=01CRU&amp;lang=en_US&amp;offset=0&amp;query=any,contains,991001301339702656","Catalog Record")</f>
        <v/>
      </c>
      <c r="AT1212">
        <f>HYPERLINK("http://www.worldcat.org/oclc/18069985","WorldCat Record")</f>
        <v/>
      </c>
      <c r="AU1212" t="inlineStr">
        <is>
          <t>16645580:eng</t>
        </is>
      </c>
      <c r="AV1212" t="inlineStr">
        <is>
          <t>18069985</t>
        </is>
      </c>
      <c r="AW1212" t="inlineStr">
        <is>
          <t>991001301339702656</t>
        </is>
      </c>
      <c r="AX1212" t="inlineStr">
        <is>
          <t>991001301339702656</t>
        </is>
      </c>
      <c r="AY1212" t="inlineStr">
        <is>
          <t>2265052530002656</t>
        </is>
      </c>
      <c r="AZ1212" t="inlineStr">
        <is>
          <t>BOOK</t>
        </is>
      </c>
      <c r="BB1212" t="inlineStr">
        <is>
          <t>9780391035744</t>
        </is>
      </c>
      <c r="BC1212" t="inlineStr">
        <is>
          <t>32285000137330</t>
        </is>
      </c>
      <c r="BD1212" t="inlineStr">
        <is>
          <t>893590184</t>
        </is>
      </c>
    </row>
    <row r="1213">
      <c r="A1213" t="inlineStr">
        <is>
          <t>No</t>
        </is>
      </c>
      <c r="B1213" t="inlineStr">
        <is>
          <t>HV8675 .T44 1987</t>
        </is>
      </c>
      <c r="C1213" t="inlineStr">
        <is>
          <t>0                      HV 8675000T  44          1987</t>
        </is>
      </c>
      <c r="D1213" t="inlineStr">
        <is>
          <t>Crime, guilt, and punishment : a philosophical introduction / C.L. Ten.</t>
        </is>
      </c>
      <c r="F1213" t="inlineStr">
        <is>
          <t>No</t>
        </is>
      </c>
      <c r="G1213" t="inlineStr">
        <is>
          <t>1</t>
        </is>
      </c>
      <c r="H1213" t="inlineStr">
        <is>
          <t>Yes</t>
        </is>
      </c>
      <c r="I1213" t="inlineStr">
        <is>
          <t>No</t>
        </is>
      </c>
      <c r="J1213" t="inlineStr">
        <is>
          <t>0</t>
        </is>
      </c>
      <c r="K1213" t="inlineStr">
        <is>
          <t>Ten, C. L.</t>
        </is>
      </c>
      <c r="L1213" t="inlineStr">
        <is>
          <t>Oxford : Clarendon Press ; New York : Oxford University Press, c1987.</t>
        </is>
      </c>
      <c r="M1213" t="inlineStr">
        <is>
          <t>1987</t>
        </is>
      </c>
      <c r="O1213" t="inlineStr">
        <is>
          <t>eng</t>
        </is>
      </c>
      <c r="P1213" t="inlineStr">
        <is>
          <t>enk</t>
        </is>
      </c>
      <c r="R1213" t="inlineStr">
        <is>
          <t xml:space="preserve">HV </t>
        </is>
      </c>
      <c r="S1213" t="n">
        <v>18</v>
      </c>
      <c r="T1213" t="n">
        <v>20</v>
      </c>
      <c r="U1213" t="inlineStr">
        <is>
          <t>2001-02-26</t>
        </is>
      </c>
      <c r="V1213" t="inlineStr">
        <is>
          <t>2003-04-26</t>
        </is>
      </c>
      <c r="W1213" t="inlineStr">
        <is>
          <t>1992-07-14</t>
        </is>
      </c>
      <c r="X1213" t="inlineStr">
        <is>
          <t>1992-11-14</t>
        </is>
      </c>
      <c r="Y1213" t="n">
        <v>710</v>
      </c>
      <c r="Z1213" t="n">
        <v>526</v>
      </c>
      <c r="AA1213" t="n">
        <v>530</v>
      </c>
      <c r="AB1213" t="n">
        <v>5</v>
      </c>
      <c r="AC1213" t="n">
        <v>5</v>
      </c>
      <c r="AD1213" t="n">
        <v>37</v>
      </c>
      <c r="AE1213" t="n">
        <v>38</v>
      </c>
      <c r="AF1213" t="n">
        <v>9</v>
      </c>
      <c r="AG1213" t="n">
        <v>9</v>
      </c>
      <c r="AH1213" t="n">
        <v>7</v>
      </c>
      <c r="AI1213" t="n">
        <v>7</v>
      </c>
      <c r="AJ1213" t="n">
        <v>13</v>
      </c>
      <c r="AK1213" t="n">
        <v>13</v>
      </c>
      <c r="AL1213" t="n">
        <v>3</v>
      </c>
      <c r="AM1213" t="n">
        <v>3</v>
      </c>
      <c r="AN1213" t="n">
        <v>11</v>
      </c>
      <c r="AO1213" t="n">
        <v>12</v>
      </c>
      <c r="AP1213" t="inlineStr">
        <is>
          <t>No</t>
        </is>
      </c>
      <c r="AQ1213" t="inlineStr">
        <is>
          <t>No</t>
        </is>
      </c>
      <c r="AS1213">
        <f>HYPERLINK("https://creighton-primo.hosted.exlibrisgroup.com/primo-explore/search?tab=default_tab&amp;search_scope=EVERYTHING&amp;vid=01CRU&amp;lang=en_US&amp;offset=0&amp;query=any,contains,991001635749702656","Catalog Record")</f>
        <v/>
      </c>
      <c r="AT1213">
        <f>HYPERLINK("http://www.worldcat.org/oclc/15281901","WorldCat Record")</f>
        <v/>
      </c>
      <c r="AU1213" t="inlineStr">
        <is>
          <t>294261302:eng</t>
        </is>
      </c>
      <c r="AV1213" t="inlineStr">
        <is>
          <t>15281901</t>
        </is>
      </c>
      <c r="AW1213" t="inlineStr">
        <is>
          <t>991001635749702656</t>
        </is>
      </c>
      <c r="AX1213" t="inlineStr">
        <is>
          <t>991001635749702656</t>
        </is>
      </c>
      <c r="AY1213" t="inlineStr">
        <is>
          <t>2265736450002656</t>
        </is>
      </c>
      <c r="AZ1213" t="inlineStr">
        <is>
          <t>BOOK</t>
        </is>
      </c>
      <c r="BB1213" t="inlineStr">
        <is>
          <t>9780198750819</t>
        </is>
      </c>
      <c r="BC1213" t="inlineStr">
        <is>
          <t>32285001182988</t>
        </is>
      </c>
      <c r="BD1213" t="inlineStr">
        <is>
          <t>893334426</t>
        </is>
      </c>
    </row>
    <row r="1214">
      <c r="A1214" t="inlineStr">
        <is>
          <t>No</t>
        </is>
      </c>
      <c r="B1214" t="inlineStr">
        <is>
          <t>HV8675 .V35</t>
        </is>
      </c>
      <c r="C1214" t="inlineStr">
        <is>
          <t>0                      HV 8675000V  35</t>
        </is>
      </c>
      <c r="D1214" t="inlineStr">
        <is>
          <t>Punishing criminals : concerning a very old and painful question / Ernest van den Haag.</t>
        </is>
      </c>
      <c r="F1214" t="inlineStr">
        <is>
          <t>No</t>
        </is>
      </c>
      <c r="G1214" t="inlineStr">
        <is>
          <t>1</t>
        </is>
      </c>
      <c r="H1214" t="inlineStr">
        <is>
          <t>Yes</t>
        </is>
      </c>
      <c r="I1214" t="inlineStr">
        <is>
          <t>No</t>
        </is>
      </c>
      <c r="J1214" t="inlineStr">
        <is>
          <t>0</t>
        </is>
      </c>
      <c r="K1214" t="inlineStr">
        <is>
          <t>Van den Haag, Ernest.</t>
        </is>
      </c>
      <c r="L1214" t="inlineStr">
        <is>
          <t>New York : Basic Books, c1975.</t>
        </is>
      </c>
      <c r="M1214" t="inlineStr">
        <is>
          <t>1975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HV </t>
        </is>
      </c>
      <c r="S1214" t="n">
        <v>12</v>
      </c>
      <c r="T1214" t="n">
        <v>16</v>
      </c>
      <c r="U1214" t="inlineStr">
        <is>
          <t>1995-04-03</t>
        </is>
      </c>
      <c r="V1214" t="inlineStr">
        <is>
          <t>1998-02-06</t>
        </is>
      </c>
      <c r="W1214" t="inlineStr">
        <is>
          <t>1992-04-11</t>
        </is>
      </c>
      <c r="X1214" t="inlineStr">
        <is>
          <t>1992-04-11</t>
        </is>
      </c>
      <c r="Y1214" t="n">
        <v>1039</v>
      </c>
      <c r="Z1214" t="n">
        <v>920</v>
      </c>
      <c r="AA1214" t="n">
        <v>1024</v>
      </c>
      <c r="AB1214" t="n">
        <v>9</v>
      </c>
      <c r="AC1214" t="n">
        <v>10</v>
      </c>
      <c r="AD1214" t="n">
        <v>40</v>
      </c>
      <c r="AE1214" t="n">
        <v>50</v>
      </c>
      <c r="AF1214" t="n">
        <v>11</v>
      </c>
      <c r="AG1214" t="n">
        <v>13</v>
      </c>
      <c r="AH1214" t="n">
        <v>6</v>
      </c>
      <c r="AI1214" t="n">
        <v>7</v>
      </c>
      <c r="AJ1214" t="n">
        <v>17</v>
      </c>
      <c r="AK1214" t="n">
        <v>19</v>
      </c>
      <c r="AL1214" t="n">
        <v>4</v>
      </c>
      <c r="AM1214" t="n">
        <v>5</v>
      </c>
      <c r="AN1214" t="n">
        <v>11</v>
      </c>
      <c r="AO1214" t="n">
        <v>15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HYPERLINK("http://catalog.hathitrust.org/Record/000702450","HathiTrust Record")</f>
        <v/>
      </c>
      <c r="AS1214">
        <f>HYPERLINK("https://creighton-primo.hosted.exlibrisgroup.com/primo-explore/search?tab=default_tab&amp;search_scope=EVERYTHING&amp;vid=01CRU&amp;lang=en_US&amp;offset=0&amp;query=any,contains,991001739569702656","Catalog Record")</f>
        <v/>
      </c>
      <c r="AT1214">
        <f>HYPERLINK("http://www.worldcat.org/oclc/1875513","WorldCat Record")</f>
        <v/>
      </c>
      <c r="AU1214" t="inlineStr">
        <is>
          <t>487592:eng</t>
        </is>
      </c>
      <c r="AV1214" t="inlineStr">
        <is>
          <t>1875513</t>
        </is>
      </c>
      <c r="AW1214" t="inlineStr">
        <is>
          <t>991001739569702656</t>
        </is>
      </c>
      <c r="AX1214" t="inlineStr">
        <is>
          <t>991001739569702656</t>
        </is>
      </c>
      <c r="AY1214" t="inlineStr">
        <is>
          <t>2260732030002656</t>
        </is>
      </c>
      <c r="AZ1214" t="inlineStr">
        <is>
          <t>BOOK</t>
        </is>
      </c>
      <c r="BB1214" t="inlineStr">
        <is>
          <t>9780465067749</t>
        </is>
      </c>
      <c r="BC1214" t="inlineStr">
        <is>
          <t>32285001058147</t>
        </is>
      </c>
      <c r="BD1214" t="inlineStr">
        <is>
          <t>893414432</t>
        </is>
      </c>
    </row>
    <row r="1215">
      <c r="A1215" t="inlineStr">
        <is>
          <t>No</t>
        </is>
      </c>
      <c r="B1215" t="inlineStr">
        <is>
          <t>HV8675 .W3 1980b</t>
        </is>
      </c>
      <c r="C1215" t="inlineStr">
        <is>
          <t>0                      HV 8675000W  3           1980b</t>
        </is>
      </c>
      <c r="D1215" t="inlineStr">
        <is>
          <t>Punishment, danger and stigma : the morality of criminal justice / Nigel Walker.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Walker, Nigel.</t>
        </is>
      </c>
      <c r="L1215" t="inlineStr">
        <is>
          <t>Totowa, N.J. : Barnes &amp; Noble Books, 1980.</t>
        </is>
      </c>
      <c r="M1215" t="inlineStr">
        <is>
          <t>1980</t>
        </is>
      </c>
      <c r="O1215" t="inlineStr">
        <is>
          <t>eng</t>
        </is>
      </c>
      <c r="P1215" t="inlineStr">
        <is>
          <t>nju</t>
        </is>
      </c>
      <c r="R1215" t="inlineStr">
        <is>
          <t xml:space="preserve">HV </t>
        </is>
      </c>
      <c r="S1215" t="n">
        <v>18</v>
      </c>
      <c r="T1215" t="n">
        <v>18</v>
      </c>
      <c r="U1215" t="inlineStr">
        <is>
          <t>1997-04-16</t>
        </is>
      </c>
      <c r="V1215" t="inlineStr">
        <is>
          <t>1997-04-16</t>
        </is>
      </c>
      <c r="W1215" t="inlineStr">
        <is>
          <t>1992-04-08</t>
        </is>
      </c>
      <c r="X1215" t="inlineStr">
        <is>
          <t>1992-04-08</t>
        </is>
      </c>
      <c r="Y1215" t="n">
        <v>441</v>
      </c>
      <c r="Z1215" t="n">
        <v>407</v>
      </c>
      <c r="AA1215" t="n">
        <v>483</v>
      </c>
      <c r="AB1215" t="n">
        <v>3</v>
      </c>
      <c r="AC1215" t="n">
        <v>5</v>
      </c>
      <c r="AD1215" t="n">
        <v>29</v>
      </c>
      <c r="AE1215" t="n">
        <v>32</v>
      </c>
      <c r="AF1215" t="n">
        <v>6</v>
      </c>
      <c r="AG1215" t="n">
        <v>6</v>
      </c>
      <c r="AH1215" t="n">
        <v>6</v>
      </c>
      <c r="AI1215" t="n">
        <v>6</v>
      </c>
      <c r="AJ1215" t="n">
        <v>9</v>
      </c>
      <c r="AK1215" t="n">
        <v>10</v>
      </c>
      <c r="AL1215" t="n">
        <v>1</v>
      </c>
      <c r="AM1215" t="n">
        <v>3</v>
      </c>
      <c r="AN1215" t="n">
        <v>11</v>
      </c>
      <c r="AO1215" t="n">
        <v>11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HYPERLINK("https://creighton-primo.hosted.exlibrisgroup.com/primo-explore/search?tab=default_tab&amp;search_scope=EVERYTHING&amp;vid=01CRU&amp;lang=en_US&amp;offset=0&amp;query=any,contains,991005074919702656","Catalog Record")</f>
        <v/>
      </c>
      <c r="AT1215">
        <f>HYPERLINK("http://www.worldcat.org/oclc/7098052","WorldCat Record")</f>
        <v/>
      </c>
      <c r="AU1215" t="inlineStr">
        <is>
          <t>458652:eng</t>
        </is>
      </c>
      <c r="AV1215" t="inlineStr">
        <is>
          <t>7098052</t>
        </is>
      </c>
      <c r="AW1215" t="inlineStr">
        <is>
          <t>991005074919702656</t>
        </is>
      </c>
      <c r="AX1215" t="inlineStr">
        <is>
          <t>991005074919702656</t>
        </is>
      </c>
      <c r="AY1215" t="inlineStr">
        <is>
          <t>2257301890002656</t>
        </is>
      </c>
      <c r="AZ1215" t="inlineStr">
        <is>
          <t>BOOK</t>
        </is>
      </c>
      <c r="BB1215" t="inlineStr">
        <is>
          <t>9780389201298</t>
        </is>
      </c>
      <c r="BC1215" t="inlineStr">
        <is>
          <t>32285001066132</t>
        </is>
      </c>
      <c r="BD1215" t="inlineStr">
        <is>
          <t>893350658</t>
        </is>
      </c>
    </row>
    <row r="1216">
      <c r="A1216" t="inlineStr">
        <is>
          <t>No</t>
        </is>
      </c>
      <c r="B1216" t="inlineStr">
        <is>
          <t>HV8688 .H35 2007</t>
        </is>
      </c>
      <c r="C1216" t="inlineStr">
        <is>
          <t>0                      HV 8688000H  35          2007</t>
        </is>
      </c>
      <c r="D1216" t="inlineStr">
        <is>
          <t>Handbook of restorative justice / edited by Gerry Johnstone and Daniel W. Van Ness.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L1216" t="inlineStr">
        <is>
          <t>Cullompton ; Portland, Or. : Willan, 2007.</t>
        </is>
      </c>
      <c r="M1216" t="inlineStr">
        <is>
          <t>2007</t>
        </is>
      </c>
      <c r="O1216" t="inlineStr">
        <is>
          <t>eng</t>
        </is>
      </c>
      <c r="P1216" t="inlineStr">
        <is>
          <t>enk</t>
        </is>
      </c>
      <c r="R1216" t="inlineStr">
        <is>
          <t xml:space="preserve">HV </t>
        </is>
      </c>
      <c r="S1216" t="n">
        <v>1</v>
      </c>
      <c r="T1216" t="n">
        <v>1</v>
      </c>
      <c r="U1216" t="inlineStr">
        <is>
          <t>2009-07-16</t>
        </is>
      </c>
      <c r="V1216" t="inlineStr">
        <is>
          <t>2009-07-16</t>
        </is>
      </c>
      <c r="W1216" t="inlineStr">
        <is>
          <t>2009-07-16</t>
        </is>
      </c>
      <c r="X1216" t="inlineStr">
        <is>
          <t>2009-07-16</t>
        </is>
      </c>
      <c r="Y1216" t="n">
        <v>341</v>
      </c>
      <c r="Z1216" t="n">
        <v>198</v>
      </c>
      <c r="AA1216" t="n">
        <v>280</v>
      </c>
      <c r="AB1216" t="n">
        <v>2</v>
      </c>
      <c r="AC1216" t="n">
        <v>3</v>
      </c>
      <c r="AD1216" t="n">
        <v>20</v>
      </c>
      <c r="AE1216" t="n">
        <v>23</v>
      </c>
      <c r="AF1216" t="n">
        <v>7</v>
      </c>
      <c r="AG1216" t="n">
        <v>7</v>
      </c>
      <c r="AH1216" t="n">
        <v>3</v>
      </c>
      <c r="AI1216" t="n">
        <v>5</v>
      </c>
      <c r="AJ1216" t="n">
        <v>9</v>
      </c>
      <c r="AK1216" t="n">
        <v>10</v>
      </c>
      <c r="AL1216" t="n">
        <v>1</v>
      </c>
      <c r="AM1216" t="n">
        <v>2</v>
      </c>
      <c r="AN1216" t="n">
        <v>4</v>
      </c>
      <c r="AO1216" t="n">
        <v>4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HYPERLINK("http://catalog.hathitrust.org/Record/005403434","HathiTrust Record")</f>
        <v/>
      </c>
      <c r="AS1216">
        <f>HYPERLINK("https://creighton-primo.hosted.exlibrisgroup.com/primo-explore/search?tab=default_tab&amp;search_scope=EVERYTHING&amp;vid=01CRU&amp;lang=en_US&amp;offset=0&amp;query=any,contains,991005325699702656","Catalog Record")</f>
        <v/>
      </c>
      <c r="AT1216">
        <f>HYPERLINK("http://www.worldcat.org/oclc/61529085","WorldCat Record")</f>
        <v/>
      </c>
      <c r="AU1216" t="inlineStr">
        <is>
          <t>3856622369:eng</t>
        </is>
      </c>
      <c r="AV1216" t="inlineStr">
        <is>
          <t>61529085</t>
        </is>
      </c>
      <c r="AW1216" t="inlineStr">
        <is>
          <t>991005325699702656</t>
        </is>
      </c>
      <c r="AX1216" t="inlineStr">
        <is>
          <t>991005325699702656</t>
        </is>
      </c>
      <c r="AY1216" t="inlineStr">
        <is>
          <t>2268472260002656</t>
        </is>
      </c>
      <c r="AZ1216" t="inlineStr">
        <is>
          <t>BOOK</t>
        </is>
      </c>
      <c r="BB1216" t="inlineStr">
        <is>
          <t>9781843921509</t>
        </is>
      </c>
      <c r="BC1216" t="inlineStr">
        <is>
          <t>32285005538102</t>
        </is>
      </c>
      <c r="BD1216" t="inlineStr">
        <is>
          <t>893713872</t>
        </is>
      </c>
    </row>
    <row r="1217">
      <c r="A1217" t="inlineStr">
        <is>
          <t>No</t>
        </is>
      </c>
      <c r="B1217" t="inlineStr">
        <is>
          <t>HV8688 .R47 2003</t>
        </is>
      </c>
      <c r="C1217" t="inlineStr">
        <is>
          <t>0                      HV 8688000R  47          2003</t>
        </is>
      </c>
      <c r="D1217" t="inlineStr">
        <is>
          <t>Restorative justice : critical issues / edited by Eugene McLaughlin ... [et al.]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L1217" t="inlineStr">
        <is>
          <t>London ; Thousand Oaks, Calif. : Sage Publications in association with the Open University, 2003.</t>
        </is>
      </c>
      <c r="M1217" t="inlineStr">
        <is>
          <t>2003</t>
        </is>
      </c>
      <c r="O1217" t="inlineStr">
        <is>
          <t>eng</t>
        </is>
      </c>
      <c r="P1217" t="inlineStr">
        <is>
          <t>enk</t>
        </is>
      </c>
      <c r="Q1217" t="inlineStr">
        <is>
          <t>Crime, order and social control</t>
        </is>
      </c>
      <c r="R1217" t="inlineStr">
        <is>
          <t xml:space="preserve">HV </t>
        </is>
      </c>
      <c r="S1217" t="n">
        <v>3</v>
      </c>
      <c r="T1217" t="n">
        <v>3</v>
      </c>
      <c r="U1217" t="inlineStr">
        <is>
          <t>2006-04-22</t>
        </is>
      </c>
      <c r="V1217" t="inlineStr">
        <is>
          <t>2006-04-22</t>
        </is>
      </c>
      <c r="W1217" t="inlineStr">
        <is>
          <t>2003-09-23</t>
        </is>
      </c>
      <c r="X1217" t="inlineStr">
        <is>
          <t>2003-09-23</t>
        </is>
      </c>
      <c r="Y1217" t="n">
        <v>298</v>
      </c>
      <c r="Z1217" t="n">
        <v>155</v>
      </c>
      <c r="AA1217" t="n">
        <v>157</v>
      </c>
      <c r="AB1217" t="n">
        <v>1</v>
      </c>
      <c r="AC1217" t="n">
        <v>1</v>
      </c>
      <c r="AD1217" t="n">
        <v>11</v>
      </c>
      <c r="AE1217" t="n">
        <v>11</v>
      </c>
      <c r="AF1217" t="n">
        <v>4</v>
      </c>
      <c r="AG1217" t="n">
        <v>4</v>
      </c>
      <c r="AH1217" t="n">
        <v>1</v>
      </c>
      <c r="AI1217" t="n">
        <v>1</v>
      </c>
      <c r="AJ1217" t="n">
        <v>7</v>
      </c>
      <c r="AK1217" t="n">
        <v>7</v>
      </c>
      <c r="AL1217" t="n">
        <v>0</v>
      </c>
      <c r="AM1217" t="n">
        <v>0</v>
      </c>
      <c r="AN1217" t="n">
        <v>2</v>
      </c>
      <c r="AO1217" t="n">
        <v>2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HYPERLINK("http://catalog.hathitrust.org/Record/004336395","HathiTrust Record")</f>
        <v/>
      </c>
      <c r="AS1217">
        <f>HYPERLINK("https://creighton-primo.hosted.exlibrisgroup.com/primo-explore/search?tab=default_tab&amp;search_scope=EVERYTHING&amp;vid=01CRU&amp;lang=en_US&amp;offset=0&amp;query=any,contains,991004133109702656","Catalog Record")</f>
        <v/>
      </c>
      <c r="AT1217">
        <f>HYPERLINK("http://www.worldcat.org/oclc/51780034","WorldCat Record")</f>
        <v/>
      </c>
      <c r="AU1217" t="inlineStr">
        <is>
          <t>354080438:eng</t>
        </is>
      </c>
      <c r="AV1217" t="inlineStr">
        <is>
          <t>51780034</t>
        </is>
      </c>
      <c r="AW1217" t="inlineStr">
        <is>
          <t>991004133109702656</t>
        </is>
      </c>
      <c r="AX1217" t="inlineStr">
        <is>
          <t>991004133109702656</t>
        </is>
      </c>
      <c r="AY1217" t="inlineStr">
        <is>
          <t>2266501660002656</t>
        </is>
      </c>
      <c r="AZ1217" t="inlineStr">
        <is>
          <t>BOOK</t>
        </is>
      </c>
      <c r="BB1217" t="inlineStr">
        <is>
          <t>9780761942085</t>
        </is>
      </c>
      <c r="BC1217" t="inlineStr">
        <is>
          <t>32285004788955</t>
        </is>
      </c>
      <c r="BD1217" t="inlineStr">
        <is>
          <t>893788321</t>
        </is>
      </c>
    </row>
    <row r="1218">
      <c r="A1218" t="inlineStr">
        <is>
          <t>No</t>
        </is>
      </c>
      <c r="B1218" t="inlineStr">
        <is>
          <t>HV8688 .S28 2008</t>
        </is>
      </c>
      <c r="C1218" t="inlineStr">
        <is>
          <t>0                      HV 8688000S  28          2008</t>
        </is>
      </c>
      <c r="D1218" t="inlineStr">
        <is>
          <t>Justpeace ethics : a guide to restorative justice and peacebuilding / Jarem Sawatsky ; with a foreword by Howard Zehr.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K1218" t="inlineStr">
        <is>
          <t>Sawatsky, Jarem.</t>
        </is>
      </c>
      <c r="L1218" t="inlineStr">
        <is>
          <t>Eugene, Or. : Cascade Books, 2008.</t>
        </is>
      </c>
      <c r="M1218" t="inlineStr">
        <is>
          <t>2008</t>
        </is>
      </c>
      <c r="O1218" t="inlineStr">
        <is>
          <t>eng</t>
        </is>
      </c>
      <c r="P1218" t="inlineStr">
        <is>
          <t>oru</t>
        </is>
      </c>
      <c r="Q1218" t="inlineStr">
        <is>
          <t>Cascade companions ; 7</t>
        </is>
      </c>
      <c r="R1218" t="inlineStr">
        <is>
          <t xml:space="preserve">HV </t>
        </is>
      </c>
      <c r="S1218" t="n">
        <v>1</v>
      </c>
      <c r="T1218" t="n">
        <v>1</v>
      </c>
      <c r="U1218" t="inlineStr">
        <is>
          <t>2009-08-19</t>
        </is>
      </c>
      <c r="V1218" t="inlineStr">
        <is>
          <t>2009-08-19</t>
        </is>
      </c>
      <c r="W1218" t="inlineStr">
        <is>
          <t>2009-08-19</t>
        </is>
      </c>
      <c r="X1218" t="inlineStr">
        <is>
          <t>2009-08-19</t>
        </is>
      </c>
      <c r="Y1218" t="n">
        <v>74</v>
      </c>
      <c r="Z1218" t="n">
        <v>60</v>
      </c>
      <c r="AA1218" t="n">
        <v>279</v>
      </c>
      <c r="AB1218" t="n">
        <v>1</v>
      </c>
      <c r="AC1218" t="n">
        <v>2</v>
      </c>
      <c r="AD1218" t="n">
        <v>4</v>
      </c>
      <c r="AE1218" t="n">
        <v>17</v>
      </c>
      <c r="AF1218" t="n">
        <v>1</v>
      </c>
      <c r="AG1218" t="n">
        <v>8</v>
      </c>
      <c r="AH1218" t="n">
        <v>2</v>
      </c>
      <c r="AI1218" t="n">
        <v>5</v>
      </c>
      <c r="AJ1218" t="n">
        <v>2</v>
      </c>
      <c r="AK1218" t="n">
        <v>8</v>
      </c>
      <c r="AL1218" t="n">
        <v>0</v>
      </c>
      <c r="AM1218" t="n">
        <v>1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No</t>
        </is>
      </c>
      <c r="AS1218">
        <f>HYPERLINK("https://creighton-primo.hosted.exlibrisgroup.com/primo-explore/search?tab=default_tab&amp;search_scope=EVERYTHING&amp;vid=01CRU&amp;lang=en_US&amp;offset=0&amp;query=any,contains,991005326179702656","Catalog Record")</f>
        <v/>
      </c>
      <c r="AT1218">
        <f>HYPERLINK("http://www.worldcat.org/oclc/265938391","WorldCat Record")</f>
        <v/>
      </c>
      <c r="AU1218" t="inlineStr">
        <is>
          <t>1105153407:eng</t>
        </is>
      </c>
      <c r="AV1218" t="inlineStr">
        <is>
          <t>265938391</t>
        </is>
      </c>
      <c r="AW1218" t="inlineStr">
        <is>
          <t>991005326179702656</t>
        </is>
      </c>
      <c r="AX1218" t="inlineStr">
        <is>
          <t>991005326179702656</t>
        </is>
      </c>
      <c r="AY1218" t="inlineStr">
        <is>
          <t>2257378400002656</t>
        </is>
      </c>
      <c r="AZ1218" t="inlineStr">
        <is>
          <t>BOOK</t>
        </is>
      </c>
      <c r="BB1218" t="inlineStr">
        <is>
          <t>9781556352997</t>
        </is>
      </c>
      <c r="BC1218" t="inlineStr">
        <is>
          <t>32285005541981</t>
        </is>
      </c>
      <c r="BD1218" t="inlineStr">
        <is>
          <t>893520836</t>
        </is>
      </c>
    </row>
    <row r="1219">
      <c r="A1219" t="inlineStr">
        <is>
          <t>No</t>
        </is>
      </c>
      <c r="B1219" t="inlineStr">
        <is>
          <t>HV8688 .V36 1997</t>
        </is>
      </c>
      <c r="C1219" t="inlineStr">
        <is>
          <t>0                      HV 8688000V  36          1997</t>
        </is>
      </c>
      <c r="D1219" t="inlineStr">
        <is>
          <t>Restoring justice / Daniel Van Ness, Karen Heetderks Strong.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K1219" t="inlineStr">
        <is>
          <t>Van Ness, Daniel W., 1949-</t>
        </is>
      </c>
      <c r="L1219" t="inlineStr">
        <is>
          <t>Cincinnati, OH : Anderson Pub., c1997.</t>
        </is>
      </c>
      <c r="M1219" t="inlineStr">
        <is>
          <t>1997</t>
        </is>
      </c>
      <c r="O1219" t="inlineStr">
        <is>
          <t>eng</t>
        </is>
      </c>
      <c r="P1219" t="inlineStr">
        <is>
          <t>ohu</t>
        </is>
      </c>
      <c r="R1219" t="inlineStr">
        <is>
          <t xml:space="preserve">HV </t>
        </is>
      </c>
      <c r="S1219" t="n">
        <v>7</v>
      </c>
      <c r="T1219" t="n">
        <v>7</v>
      </c>
      <c r="U1219" t="inlineStr">
        <is>
          <t>2007-12-03</t>
        </is>
      </c>
      <c r="V1219" t="inlineStr">
        <is>
          <t>2007-12-03</t>
        </is>
      </c>
      <c r="W1219" t="inlineStr">
        <is>
          <t>1999-01-21</t>
        </is>
      </c>
      <c r="X1219" t="inlineStr">
        <is>
          <t>1999-01-21</t>
        </is>
      </c>
      <c r="Y1219" t="n">
        <v>225</v>
      </c>
      <c r="Z1219" t="n">
        <v>181</v>
      </c>
      <c r="AA1219" t="n">
        <v>181</v>
      </c>
      <c r="AB1219" t="n">
        <v>1</v>
      </c>
      <c r="AC1219" t="n">
        <v>1</v>
      </c>
      <c r="AD1219" t="n">
        <v>6</v>
      </c>
      <c r="AE1219" t="n">
        <v>6</v>
      </c>
      <c r="AF1219" t="n">
        <v>0</v>
      </c>
      <c r="AG1219" t="n">
        <v>0</v>
      </c>
      <c r="AH1219" t="n">
        <v>1</v>
      </c>
      <c r="AI1219" t="n">
        <v>1</v>
      </c>
      <c r="AJ1219" t="n">
        <v>3</v>
      </c>
      <c r="AK1219" t="n">
        <v>3</v>
      </c>
      <c r="AL1219" t="n">
        <v>0</v>
      </c>
      <c r="AM1219" t="n">
        <v>0</v>
      </c>
      <c r="AN1219" t="n">
        <v>2</v>
      </c>
      <c r="AO1219" t="n">
        <v>2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HYPERLINK("https://creighton-primo.hosted.exlibrisgroup.com/primo-explore/search?tab=default_tab&amp;search_scope=EVERYTHING&amp;vid=01CRU&amp;lang=en_US&amp;offset=0&amp;query=any,contains,991002848069702656","Catalog Record")</f>
        <v/>
      </c>
      <c r="AT1219">
        <f>HYPERLINK("http://www.worldcat.org/oclc/37528889","WorldCat Record")</f>
        <v/>
      </c>
      <c r="AU1219" t="inlineStr">
        <is>
          <t>10252425556:eng</t>
        </is>
      </c>
      <c r="AV1219" t="inlineStr">
        <is>
          <t>37528889</t>
        </is>
      </c>
      <c r="AW1219" t="inlineStr">
        <is>
          <t>991002848069702656</t>
        </is>
      </c>
      <c r="AX1219" t="inlineStr">
        <is>
          <t>991002848069702656</t>
        </is>
      </c>
      <c r="AY1219" t="inlineStr">
        <is>
          <t>2264458040002656</t>
        </is>
      </c>
      <c r="AZ1219" t="inlineStr">
        <is>
          <t>BOOK</t>
        </is>
      </c>
      <c r="BB1219" t="inlineStr">
        <is>
          <t>9780870848902</t>
        </is>
      </c>
      <c r="BC1219" t="inlineStr">
        <is>
          <t>32285003514550</t>
        </is>
      </c>
      <c r="BD1219" t="inlineStr">
        <is>
          <t>893257794</t>
        </is>
      </c>
    </row>
    <row r="1220">
      <c r="A1220" t="inlineStr">
        <is>
          <t>No</t>
        </is>
      </c>
      <c r="B1220" t="inlineStr">
        <is>
          <t>HV8693 .M87</t>
        </is>
      </c>
      <c r="C1220" t="inlineStr">
        <is>
          <t>0                      HV 8693000M  87</t>
        </is>
      </c>
      <c r="D1220" t="inlineStr">
        <is>
          <t>Punishment and rehabilitation. Edited by Jeffrie G. Murphy.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K1220" t="inlineStr">
        <is>
          <t>Murphy, Jeffrie G. compiler.</t>
        </is>
      </c>
      <c r="L1220" t="inlineStr">
        <is>
          <t>Belmont, Calif., Wadsworth Pub. Co. [1973]</t>
        </is>
      </c>
      <c r="M1220" t="inlineStr">
        <is>
          <t>1973</t>
        </is>
      </c>
      <c r="O1220" t="inlineStr">
        <is>
          <t>eng</t>
        </is>
      </c>
      <c r="P1220" t="inlineStr">
        <is>
          <t>cau</t>
        </is>
      </c>
      <c r="Q1220" t="inlineStr">
        <is>
          <t>Basic problems in philosophy series</t>
        </is>
      </c>
      <c r="R1220" t="inlineStr">
        <is>
          <t xml:space="preserve">HV </t>
        </is>
      </c>
      <c r="S1220" t="n">
        <v>52</v>
      </c>
      <c r="T1220" t="n">
        <v>52</v>
      </c>
      <c r="U1220" t="inlineStr">
        <is>
          <t>2007-04-23</t>
        </is>
      </c>
      <c r="V1220" t="inlineStr">
        <is>
          <t>2007-04-23</t>
        </is>
      </c>
      <c r="W1220" t="inlineStr">
        <is>
          <t>1996-10-02</t>
        </is>
      </c>
      <c r="X1220" t="inlineStr">
        <is>
          <t>1996-10-02</t>
        </is>
      </c>
      <c r="Y1220" t="n">
        <v>337</v>
      </c>
      <c r="Z1220" t="n">
        <v>274</v>
      </c>
      <c r="AA1220" t="n">
        <v>495</v>
      </c>
      <c r="AB1220" t="n">
        <v>2</v>
      </c>
      <c r="AC1220" t="n">
        <v>4</v>
      </c>
      <c r="AD1220" t="n">
        <v>12</v>
      </c>
      <c r="AE1220" t="n">
        <v>23</v>
      </c>
      <c r="AF1220" t="n">
        <v>4</v>
      </c>
      <c r="AG1220" t="n">
        <v>7</v>
      </c>
      <c r="AH1220" t="n">
        <v>2</v>
      </c>
      <c r="AI1220" t="n">
        <v>5</v>
      </c>
      <c r="AJ1220" t="n">
        <v>6</v>
      </c>
      <c r="AK1220" t="n">
        <v>12</v>
      </c>
      <c r="AL1220" t="n">
        <v>1</v>
      </c>
      <c r="AM1220" t="n">
        <v>3</v>
      </c>
      <c r="AN1220" t="n">
        <v>1</v>
      </c>
      <c r="AO1220" t="n">
        <v>1</v>
      </c>
      <c r="AP1220" t="inlineStr">
        <is>
          <t>No</t>
        </is>
      </c>
      <c r="AQ1220" t="inlineStr">
        <is>
          <t>No</t>
        </is>
      </c>
      <c r="AS1220">
        <f>HYPERLINK("https://creighton-primo.hosted.exlibrisgroup.com/primo-explore/search?tab=default_tab&amp;search_scope=EVERYTHING&amp;vid=01CRU&amp;lang=en_US&amp;offset=0&amp;query=any,contains,991003189499702656","Catalog Record")</f>
        <v/>
      </c>
      <c r="AT1220">
        <f>HYPERLINK("http://www.worldcat.org/oclc/714538","WorldCat Record")</f>
        <v/>
      </c>
      <c r="AU1220" t="inlineStr">
        <is>
          <t>54682147:eng</t>
        </is>
      </c>
      <c r="AV1220" t="inlineStr">
        <is>
          <t>714538</t>
        </is>
      </c>
      <c r="AW1220" t="inlineStr">
        <is>
          <t>991003189499702656</t>
        </is>
      </c>
      <c r="AX1220" t="inlineStr">
        <is>
          <t>991003189499702656</t>
        </is>
      </c>
      <c r="AY1220" t="inlineStr">
        <is>
          <t>2256149690002656</t>
        </is>
      </c>
      <c r="AZ1220" t="inlineStr">
        <is>
          <t>BOOK</t>
        </is>
      </c>
      <c r="BB1220" t="inlineStr">
        <is>
          <t>9780534003357</t>
        </is>
      </c>
      <c r="BC1220" t="inlineStr">
        <is>
          <t>32285002121845</t>
        </is>
      </c>
      <c r="BD1220" t="inlineStr">
        <is>
          <t>893434722</t>
        </is>
      </c>
    </row>
    <row r="1221">
      <c r="A1221" t="inlineStr">
        <is>
          <t>No</t>
        </is>
      </c>
      <c r="B1221" t="inlineStr">
        <is>
          <t>HV8694 .B5</t>
        </is>
      </c>
      <c r="C1221" t="inlineStr">
        <is>
          <t>0                      HV 8694000B  5</t>
        </is>
      </c>
      <c r="D1221" t="inlineStr">
        <is>
          <t>For capital punishment : crime and the morality of the death penalty / Walter Berns.</t>
        </is>
      </c>
      <c r="F1221" t="inlineStr">
        <is>
          <t>No</t>
        </is>
      </c>
      <c r="G1221" t="inlineStr">
        <is>
          <t>1</t>
        </is>
      </c>
      <c r="H1221" t="inlineStr">
        <is>
          <t>Yes</t>
        </is>
      </c>
      <c r="I1221" t="inlineStr">
        <is>
          <t>No</t>
        </is>
      </c>
      <c r="J1221" t="inlineStr">
        <is>
          <t>0</t>
        </is>
      </c>
      <c r="K1221" t="inlineStr">
        <is>
          <t>Berns, Walter, 1919-2015.</t>
        </is>
      </c>
      <c r="L1221" t="inlineStr">
        <is>
          <t>New York : Basic Books, c1979.</t>
        </is>
      </c>
      <c r="M1221" t="inlineStr">
        <is>
          <t>1979</t>
        </is>
      </c>
      <c r="O1221" t="inlineStr">
        <is>
          <t>eng</t>
        </is>
      </c>
      <c r="P1221" t="inlineStr">
        <is>
          <t>nyu</t>
        </is>
      </c>
      <c r="R1221" t="inlineStr">
        <is>
          <t xml:space="preserve">HV </t>
        </is>
      </c>
      <c r="S1221" t="n">
        <v>55</v>
      </c>
      <c r="T1221" t="n">
        <v>58</v>
      </c>
      <c r="U1221" t="inlineStr">
        <is>
          <t>2010-07-07</t>
        </is>
      </c>
      <c r="V1221" t="inlineStr">
        <is>
          <t>2010-07-07</t>
        </is>
      </c>
      <c r="W1221" t="inlineStr">
        <is>
          <t>1994-02-23</t>
        </is>
      </c>
      <c r="X1221" t="inlineStr">
        <is>
          <t>1994-02-23</t>
        </is>
      </c>
      <c r="Y1221" t="n">
        <v>1031</v>
      </c>
      <c r="Z1221" t="n">
        <v>912</v>
      </c>
      <c r="AA1221" t="n">
        <v>1108</v>
      </c>
      <c r="AB1221" t="n">
        <v>10</v>
      </c>
      <c r="AC1221" t="n">
        <v>11</v>
      </c>
      <c r="AD1221" t="n">
        <v>46</v>
      </c>
      <c r="AE1221" t="n">
        <v>56</v>
      </c>
      <c r="AF1221" t="n">
        <v>13</v>
      </c>
      <c r="AG1221" t="n">
        <v>18</v>
      </c>
      <c r="AH1221" t="n">
        <v>4</v>
      </c>
      <c r="AI1221" t="n">
        <v>6</v>
      </c>
      <c r="AJ1221" t="n">
        <v>16</v>
      </c>
      <c r="AK1221" t="n">
        <v>18</v>
      </c>
      <c r="AL1221" t="n">
        <v>8</v>
      </c>
      <c r="AM1221" t="n">
        <v>8</v>
      </c>
      <c r="AN1221" t="n">
        <v>11</v>
      </c>
      <c r="AO1221" t="n">
        <v>13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HYPERLINK("https://creighton-primo.hosted.exlibrisgroup.com/primo-explore/search?tab=default_tab&amp;search_scope=EVERYTHING&amp;vid=01CRU&amp;lang=en_US&amp;offset=0&amp;query=any,contains,991001799869702656","Catalog Record")</f>
        <v/>
      </c>
      <c r="AT1221">
        <f>HYPERLINK("http://www.worldcat.org/oclc/4834174","WorldCat Record")</f>
        <v/>
      </c>
      <c r="AU1221" t="inlineStr">
        <is>
          <t>908326681:eng</t>
        </is>
      </c>
      <c r="AV1221" t="inlineStr">
        <is>
          <t>4834174</t>
        </is>
      </c>
      <c r="AW1221" t="inlineStr">
        <is>
          <t>991001799869702656</t>
        </is>
      </c>
      <c r="AX1221" t="inlineStr">
        <is>
          <t>991001799869702656</t>
        </is>
      </c>
      <c r="AY1221" t="inlineStr">
        <is>
          <t>2267734640002656</t>
        </is>
      </c>
      <c r="AZ1221" t="inlineStr">
        <is>
          <t>BOOK</t>
        </is>
      </c>
      <c r="BB1221" t="inlineStr">
        <is>
          <t>9780465024735</t>
        </is>
      </c>
      <c r="BC1221" t="inlineStr">
        <is>
          <t>32285001850014</t>
        </is>
      </c>
      <c r="BD1221" t="inlineStr">
        <is>
          <t>893803917</t>
        </is>
      </c>
    </row>
    <row r="1222">
      <c r="A1222" t="inlineStr">
        <is>
          <t>No</t>
        </is>
      </c>
      <c r="B1222" t="inlineStr">
        <is>
          <t>HV8694 .H47 1999</t>
        </is>
      </c>
      <c r="C1222" t="inlineStr">
        <is>
          <t>0                      HV 8694000H  47          1999</t>
        </is>
      </c>
      <c r="D1222" t="inlineStr">
        <is>
          <t>Reflexiónes sobre la pena de muerte / Pedro Pablo Hernández ; presentacíon, Claudio Aníbal Medrano.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K1222" t="inlineStr">
        <is>
          <t>Hernández, Pedro Pablo.</t>
        </is>
      </c>
      <c r="L1222" t="inlineStr">
        <is>
          <t>Santo Domingo, República Dominicana : Editora Búho, 1999.</t>
        </is>
      </c>
      <c r="M1222" t="inlineStr">
        <is>
          <t>1999</t>
        </is>
      </c>
      <c r="N1222" t="inlineStr">
        <is>
          <t>1. ed.</t>
        </is>
      </c>
      <c r="O1222" t="inlineStr">
        <is>
          <t>spa</t>
        </is>
      </c>
      <c r="P1222" t="inlineStr">
        <is>
          <t xml:space="preserve">dr </t>
        </is>
      </c>
      <c r="R1222" t="inlineStr">
        <is>
          <t xml:space="preserve">HV </t>
        </is>
      </c>
      <c r="S1222" t="n">
        <v>1</v>
      </c>
      <c r="T1222" t="n">
        <v>1</v>
      </c>
      <c r="U1222" t="inlineStr">
        <is>
          <t>2002-04-10</t>
        </is>
      </c>
      <c r="V1222" t="inlineStr">
        <is>
          <t>2002-04-10</t>
        </is>
      </c>
      <c r="W1222" t="inlineStr">
        <is>
          <t>2002-04-02</t>
        </is>
      </c>
      <c r="X1222" t="inlineStr">
        <is>
          <t>2002-04-02</t>
        </is>
      </c>
      <c r="Y1222" t="n">
        <v>5</v>
      </c>
      <c r="Z1222" t="n">
        <v>5</v>
      </c>
      <c r="AA1222" t="n">
        <v>5</v>
      </c>
      <c r="AB1222" t="n">
        <v>1</v>
      </c>
      <c r="AC1222" t="n">
        <v>1</v>
      </c>
      <c r="AD1222" t="n">
        <v>0</v>
      </c>
      <c r="AE1222" t="n">
        <v>0</v>
      </c>
      <c r="AF1222" t="n">
        <v>0</v>
      </c>
      <c r="AG1222" t="n">
        <v>0</v>
      </c>
      <c r="AH1222" t="n">
        <v>0</v>
      </c>
      <c r="AI1222" t="n">
        <v>0</v>
      </c>
      <c r="AJ1222" t="n">
        <v>0</v>
      </c>
      <c r="AK1222" t="n">
        <v>0</v>
      </c>
      <c r="AL1222" t="n">
        <v>0</v>
      </c>
      <c r="AM1222" t="n">
        <v>0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No</t>
        </is>
      </c>
      <c r="AS1222">
        <f>HYPERLINK("https://creighton-primo.hosted.exlibrisgroup.com/primo-explore/search?tab=default_tab&amp;search_scope=EVERYTHING&amp;vid=01CRU&amp;lang=en_US&amp;offset=0&amp;query=any,contains,991003783229702656","Catalog Record")</f>
        <v/>
      </c>
      <c r="AT1222">
        <f>HYPERLINK("http://www.worldcat.org/oclc/49349009","WorldCat Record")</f>
        <v/>
      </c>
      <c r="AU1222" t="inlineStr">
        <is>
          <t>39323899:spa</t>
        </is>
      </c>
      <c r="AV1222" t="inlineStr">
        <is>
          <t>49349009</t>
        </is>
      </c>
      <c r="AW1222" t="inlineStr">
        <is>
          <t>991003783229702656</t>
        </is>
      </c>
      <c r="AX1222" t="inlineStr">
        <is>
          <t>991003783229702656</t>
        </is>
      </c>
      <c r="AY1222" t="inlineStr">
        <is>
          <t>2255026930002656</t>
        </is>
      </c>
      <c r="AZ1222" t="inlineStr">
        <is>
          <t>BOOK</t>
        </is>
      </c>
      <c r="BC1222" t="inlineStr">
        <is>
          <t>32285004423546</t>
        </is>
      </c>
      <c r="BD1222" t="inlineStr">
        <is>
          <t>893258861</t>
        </is>
      </c>
    </row>
    <row r="1223">
      <c r="A1223" t="inlineStr">
        <is>
          <t>No</t>
        </is>
      </c>
      <c r="B1223" t="inlineStr">
        <is>
          <t>HV8694 .H68 1991</t>
        </is>
      </c>
      <c r="C1223" t="inlineStr">
        <is>
          <t>0                      HV 8694000H  68          1991</t>
        </is>
      </c>
      <c r="D1223" t="inlineStr">
        <is>
          <t>The death penalty debate / H. Wayne House &amp; John Howard Yoder.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House, H. Wayne.</t>
        </is>
      </c>
      <c r="L1223" t="inlineStr">
        <is>
          <t>Dallas : Word Pub., c1991.</t>
        </is>
      </c>
      <c r="M1223" t="inlineStr">
        <is>
          <t>1991</t>
        </is>
      </c>
      <c r="O1223" t="inlineStr">
        <is>
          <t>eng</t>
        </is>
      </c>
      <c r="P1223" t="inlineStr">
        <is>
          <t>txu</t>
        </is>
      </c>
      <c r="Q1223" t="inlineStr">
        <is>
          <t>Issues of Christian conscience</t>
        </is>
      </c>
      <c r="R1223" t="inlineStr">
        <is>
          <t xml:space="preserve">HV </t>
        </is>
      </c>
      <c r="S1223" t="n">
        <v>91</v>
      </c>
      <c r="T1223" t="n">
        <v>91</v>
      </c>
      <c r="U1223" t="inlineStr">
        <is>
          <t>2010-07-07</t>
        </is>
      </c>
      <c r="V1223" t="inlineStr">
        <is>
          <t>2010-07-07</t>
        </is>
      </c>
      <c r="W1223" t="inlineStr">
        <is>
          <t>1994-12-21</t>
        </is>
      </c>
      <c r="X1223" t="inlineStr">
        <is>
          <t>1994-12-21</t>
        </is>
      </c>
      <c r="Y1223" t="n">
        <v>147</v>
      </c>
      <c r="Z1223" t="n">
        <v>135</v>
      </c>
      <c r="AA1223" t="n">
        <v>136</v>
      </c>
      <c r="AB1223" t="n">
        <v>2</v>
      </c>
      <c r="AC1223" t="n">
        <v>2</v>
      </c>
      <c r="AD1223" t="n">
        <v>5</v>
      </c>
      <c r="AE1223" t="n">
        <v>5</v>
      </c>
      <c r="AF1223" t="n">
        <v>4</v>
      </c>
      <c r="AG1223" t="n">
        <v>4</v>
      </c>
      <c r="AH1223" t="n">
        <v>0</v>
      </c>
      <c r="AI1223" t="n">
        <v>0</v>
      </c>
      <c r="AJ1223" t="n">
        <v>2</v>
      </c>
      <c r="AK1223" t="n">
        <v>2</v>
      </c>
      <c r="AL1223" t="n">
        <v>1</v>
      </c>
      <c r="AM1223" t="n">
        <v>1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HYPERLINK("http://catalog.hathitrust.org/Record/007588933","HathiTrust Record")</f>
        <v/>
      </c>
      <c r="AS1223">
        <f>HYPERLINK("https://creighton-primo.hosted.exlibrisgroup.com/primo-explore/search?tab=default_tab&amp;search_scope=EVERYTHING&amp;vid=01CRU&amp;lang=en_US&amp;offset=0&amp;query=any,contains,991001873279702656","Catalog Record")</f>
        <v/>
      </c>
      <c r="AT1223">
        <f>HYPERLINK("http://www.worldcat.org/oclc/23651071","WorldCat Record")</f>
        <v/>
      </c>
      <c r="AU1223" t="inlineStr">
        <is>
          <t>24750468:eng</t>
        </is>
      </c>
      <c r="AV1223" t="inlineStr">
        <is>
          <t>23651071</t>
        </is>
      </c>
      <c r="AW1223" t="inlineStr">
        <is>
          <t>991001873279702656</t>
        </is>
      </c>
      <c r="AX1223" t="inlineStr">
        <is>
          <t>991001873279702656</t>
        </is>
      </c>
      <c r="AY1223" t="inlineStr">
        <is>
          <t>2263020110002656</t>
        </is>
      </c>
      <c r="AZ1223" t="inlineStr">
        <is>
          <t>BOOK</t>
        </is>
      </c>
      <c r="BB1223" t="inlineStr">
        <is>
          <t>9780849933073</t>
        </is>
      </c>
      <c r="BC1223" t="inlineStr">
        <is>
          <t>32285001778694</t>
        </is>
      </c>
      <c r="BD1223" t="inlineStr">
        <is>
          <t>893690985</t>
        </is>
      </c>
    </row>
    <row r="1224">
      <c r="A1224" t="inlineStr">
        <is>
          <t>No</t>
        </is>
      </c>
      <c r="B1224" t="inlineStr">
        <is>
          <t>HV8694 .N37 1987</t>
        </is>
      </c>
      <c r="C1224" t="inlineStr">
        <is>
          <t>0                      HV 8694000N  37          1987</t>
        </is>
      </c>
      <c r="D1224" t="inlineStr">
        <is>
          <t>An eye for an eye? : the morality of punishing by death / Stephen Nathanson ; foreword by Arthur J. Goldberg.</t>
        </is>
      </c>
      <c r="F1224" t="inlineStr">
        <is>
          <t>No</t>
        </is>
      </c>
      <c r="G1224" t="inlineStr">
        <is>
          <t>1</t>
        </is>
      </c>
      <c r="H1224" t="inlineStr">
        <is>
          <t>Yes</t>
        </is>
      </c>
      <c r="I1224" t="inlineStr">
        <is>
          <t>No</t>
        </is>
      </c>
      <c r="J1224" t="inlineStr">
        <is>
          <t>0</t>
        </is>
      </c>
      <c r="K1224" t="inlineStr">
        <is>
          <t>Nathanson, Stephen, 1943-</t>
        </is>
      </c>
      <c r="L1224" t="inlineStr">
        <is>
          <t>Totowa, N.J. : Rowman &amp; Littlefield, 1987.</t>
        </is>
      </c>
      <c r="M1224" t="inlineStr">
        <is>
          <t>1987</t>
        </is>
      </c>
      <c r="O1224" t="inlineStr">
        <is>
          <t>eng</t>
        </is>
      </c>
      <c r="P1224" t="inlineStr">
        <is>
          <t>nju</t>
        </is>
      </c>
      <c r="R1224" t="inlineStr">
        <is>
          <t xml:space="preserve">HV </t>
        </is>
      </c>
      <c r="S1224" t="n">
        <v>49</v>
      </c>
      <c r="T1224" t="n">
        <v>56</v>
      </c>
      <c r="U1224" t="inlineStr">
        <is>
          <t>2004-02-21</t>
        </is>
      </c>
      <c r="V1224" t="inlineStr">
        <is>
          <t>2004-02-21</t>
        </is>
      </c>
      <c r="W1224" t="inlineStr">
        <is>
          <t>1990-03-19</t>
        </is>
      </c>
      <c r="X1224" t="inlineStr">
        <is>
          <t>1991-08-16</t>
        </is>
      </c>
      <c r="Y1224" t="n">
        <v>1002</v>
      </c>
      <c r="Z1224" t="n">
        <v>904</v>
      </c>
      <c r="AA1224" t="n">
        <v>911</v>
      </c>
      <c r="AB1224" t="n">
        <v>6</v>
      </c>
      <c r="AC1224" t="n">
        <v>6</v>
      </c>
      <c r="AD1224" t="n">
        <v>45</v>
      </c>
      <c r="AE1224" t="n">
        <v>45</v>
      </c>
      <c r="AF1224" t="n">
        <v>16</v>
      </c>
      <c r="AG1224" t="n">
        <v>16</v>
      </c>
      <c r="AH1224" t="n">
        <v>8</v>
      </c>
      <c r="AI1224" t="n">
        <v>8</v>
      </c>
      <c r="AJ1224" t="n">
        <v>16</v>
      </c>
      <c r="AK1224" t="n">
        <v>16</v>
      </c>
      <c r="AL1224" t="n">
        <v>4</v>
      </c>
      <c r="AM1224" t="n">
        <v>4</v>
      </c>
      <c r="AN1224" t="n">
        <v>10</v>
      </c>
      <c r="AO1224" t="n">
        <v>10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HYPERLINK("http://catalog.hathitrust.org/Record/000843464","HathiTrust Record")</f>
        <v/>
      </c>
      <c r="AS1224">
        <f>HYPERLINK("https://creighton-primo.hosted.exlibrisgroup.com/primo-explore/search?tab=default_tab&amp;search_scope=EVERYTHING&amp;vid=01CRU&amp;lang=en_US&amp;offset=0&amp;query=any,contains,991001635919702656","Catalog Record")</f>
        <v/>
      </c>
      <c r="AT1224">
        <f>HYPERLINK("http://www.worldcat.org/oclc/15520835","WorldCat Record")</f>
        <v/>
      </c>
      <c r="AU1224" t="inlineStr">
        <is>
          <t>2288781881:eng</t>
        </is>
      </c>
      <c r="AV1224" t="inlineStr">
        <is>
          <t>15520835</t>
        </is>
      </c>
      <c r="AW1224" t="inlineStr">
        <is>
          <t>991001635919702656</t>
        </is>
      </c>
      <c r="AX1224" t="inlineStr">
        <is>
          <t>991001635919702656</t>
        </is>
      </c>
      <c r="AY1224" t="inlineStr">
        <is>
          <t>2268851470002656</t>
        </is>
      </c>
      <c r="AZ1224" t="inlineStr">
        <is>
          <t>BOOK</t>
        </is>
      </c>
      <c r="BB1224" t="inlineStr">
        <is>
          <t>9780847675616</t>
        </is>
      </c>
      <c r="BC1224" t="inlineStr">
        <is>
          <t>32285000086347</t>
        </is>
      </c>
      <c r="BD1224" t="inlineStr">
        <is>
          <t>893351941</t>
        </is>
      </c>
    </row>
    <row r="1225">
      <c r="A1225" t="inlineStr">
        <is>
          <t>No</t>
        </is>
      </c>
      <c r="B1225" t="inlineStr">
        <is>
          <t>HV8698 .B47 1981</t>
        </is>
      </c>
      <c r="C1225" t="inlineStr">
        <is>
          <t>0                      HV 8698000B  47          1981</t>
        </is>
      </c>
      <c r="D1225" t="inlineStr">
        <is>
          <t>Capital punishment : the inevitability of caprice and mistake / Charles L. Black, Jr.</t>
        </is>
      </c>
      <c r="F1225" t="inlineStr">
        <is>
          <t>No</t>
        </is>
      </c>
      <c r="G1225" t="inlineStr">
        <is>
          <t>1</t>
        </is>
      </c>
      <c r="H1225" t="inlineStr">
        <is>
          <t>Yes</t>
        </is>
      </c>
      <c r="I1225" t="inlineStr">
        <is>
          <t>No</t>
        </is>
      </c>
      <c r="J1225" t="inlineStr">
        <is>
          <t>0</t>
        </is>
      </c>
      <c r="K1225" t="inlineStr">
        <is>
          <t>Black, Charles L., Jr. (Charles Lund), 1915-2001.</t>
        </is>
      </c>
      <c r="L1225" t="inlineStr">
        <is>
          <t>New York : Norton, c1981.</t>
        </is>
      </c>
      <c r="M1225" t="inlineStr">
        <is>
          <t>1981</t>
        </is>
      </c>
      <c r="N1225" t="inlineStr">
        <is>
          <t>2nd ed. augm.</t>
        </is>
      </c>
      <c r="O1225" t="inlineStr">
        <is>
          <t>eng</t>
        </is>
      </c>
      <c r="P1225" t="inlineStr">
        <is>
          <t>nyu</t>
        </is>
      </c>
      <c r="R1225" t="inlineStr">
        <is>
          <t xml:space="preserve">HV </t>
        </is>
      </c>
      <c r="S1225" t="n">
        <v>53</v>
      </c>
      <c r="T1225" t="n">
        <v>58</v>
      </c>
      <c r="U1225" t="inlineStr">
        <is>
          <t>2007-11-27</t>
        </is>
      </c>
      <c r="V1225" t="inlineStr">
        <is>
          <t>2007-11-27</t>
        </is>
      </c>
      <c r="W1225" t="inlineStr">
        <is>
          <t>1990-03-19</t>
        </is>
      </c>
      <c r="X1225" t="inlineStr">
        <is>
          <t>1991-08-16</t>
        </is>
      </c>
      <c r="Y1225" t="n">
        <v>661</v>
      </c>
      <c r="Z1225" t="n">
        <v>611</v>
      </c>
      <c r="AA1225" t="n">
        <v>1270</v>
      </c>
      <c r="AB1225" t="n">
        <v>5</v>
      </c>
      <c r="AC1225" t="n">
        <v>8</v>
      </c>
      <c r="AD1225" t="n">
        <v>34</v>
      </c>
      <c r="AE1225" t="n">
        <v>58</v>
      </c>
      <c r="AF1225" t="n">
        <v>8</v>
      </c>
      <c r="AG1225" t="n">
        <v>17</v>
      </c>
      <c r="AH1225" t="n">
        <v>4</v>
      </c>
      <c r="AI1225" t="n">
        <v>5</v>
      </c>
      <c r="AJ1225" t="n">
        <v>10</v>
      </c>
      <c r="AK1225" t="n">
        <v>17</v>
      </c>
      <c r="AL1225" t="n">
        <v>1</v>
      </c>
      <c r="AM1225" t="n">
        <v>3</v>
      </c>
      <c r="AN1225" t="n">
        <v>17</v>
      </c>
      <c r="AO1225" t="n">
        <v>24</v>
      </c>
      <c r="AP1225" t="inlineStr">
        <is>
          <t>No</t>
        </is>
      </c>
      <c r="AQ1225" t="inlineStr">
        <is>
          <t>No</t>
        </is>
      </c>
      <c r="AS1225">
        <f>HYPERLINK("https://creighton-primo.hosted.exlibrisgroup.com/primo-explore/search?tab=default_tab&amp;search_scope=EVERYTHING&amp;vid=01CRU&amp;lang=en_US&amp;offset=0&amp;query=any,contains,991001620309702656","Catalog Record")</f>
        <v/>
      </c>
      <c r="AT1225">
        <f>HYPERLINK("http://www.worldcat.org/oclc/7329288","WorldCat Record")</f>
        <v/>
      </c>
      <c r="AU1225" t="inlineStr">
        <is>
          <t>42840526:eng</t>
        </is>
      </c>
      <c r="AV1225" t="inlineStr">
        <is>
          <t>7329288</t>
        </is>
      </c>
      <c r="AW1225" t="inlineStr">
        <is>
          <t>991001620309702656</t>
        </is>
      </c>
      <c r="AX1225" t="inlineStr">
        <is>
          <t>991001620309702656</t>
        </is>
      </c>
      <c r="AY1225" t="inlineStr">
        <is>
          <t>2271542230002656</t>
        </is>
      </c>
      <c r="AZ1225" t="inlineStr">
        <is>
          <t>BOOK</t>
        </is>
      </c>
      <c r="BB1225" t="inlineStr">
        <is>
          <t>9780393013337</t>
        </is>
      </c>
      <c r="BC1225" t="inlineStr">
        <is>
          <t>32285000086354</t>
        </is>
      </c>
      <c r="BD1225" t="inlineStr">
        <is>
          <t>893885412</t>
        </is>
      </c>
    </row>
    <row r="1226">
      <c r="A1226" t="inlineStr">
        <is>
          <t>No</t>
        </is>
      </c>
      <c r="B1226" t="inlineStr">
        <is>
          <t>HV8698 .D56</t>
        </is>
      </c>
      <c r="C1226" t="inlineStr">
        <is>
          <t>0                      HV 8698000D  56</t>
        </is>
      </c>
      <c r="D1226" t="inlineStr">
        <is>
          <t>The power of life or death / [by] Michael V. DiSalle with Lawrence G. Blochman.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DiSalle, Michael V. (Michael Vincent), 1908-1981.</t>
        </is>
      </c>
      <c r="L1226" t="inlineStr">
        <is>
          <t>New York : Random House, [1965]</t>
        </is>
      </c>
      <c r="M1226" t="inlineStr">
        <is>
          <t>1965</t>
        </is>
      </c>
      <c r="O1226" t="inlineStr">
        <is>
          <t>eng</t>
        </is>
      </c>
      <c r="P1226" t="inlineStr">
        <is>
          <t>nyu</t>
        </is>
      </c>
      <c r="R1226" t="inlineStr">
        <is>
          <t xml:space="preserve">HV </t>
        </is>
      </c>
      <c r="S1226" t="n">
        <v>21</v>
      </c>
      <c r="T1226" t="n">
        <v>21</v>
      </c>
      <c r="U1226" t="inlineStr">
        <is>
          <t>2004-02-21</t>
        </is>
      </c>
      <c r="V1226" t="inlineStr">
        <is>
          <t>2004-02-21</t>
        </is>
      </c>
      <c r="W1226" t="inlineStr">
        <is>
          <t>1991-12-13</t>
        </is>
      </c>
      <c r="X1226" t="inlineStr">
        <is>
          <t>1991-12-13</t>
        </is>
      </c>
      <c r="Y1226" t="n">
        <v>485</v>
      </c>
      <c r="Z1226" t="n">
        <v>450</v>
      </c>
      <c r="AA1226" t="n">
        <v>458</v>
      </c>
      <c r="AB1226" t="n">
        <v>4</v>
      </c>
      <c r="AC1226" t="n">
        <v>4</v>
      </c>
      <c r="AD1226" t="n">
        <v>18</v>
      </c>
      <c r="AE1226" t="n">
        <v>18</v>
      </c>
      <c r="AF1226" t="n">
        <v>4</v>
      </c>
      <c r="AG1226" t="n">
        <v>4</v>
      </c>
      <c r="AH1226" t="n">
        <v>1</v>
      </c>
      <c r="AI1226" t="n">
        <v>1</v>
      </c>
      <c r="AJ1226" t="n">
        <v>6</v>
      </c>
      <c r="AK1226" t="n">
        <v>6</v>
      </c>
      <c r="AL1226" t="n">
        <v>2</v>
      </c>
      <c r="AM1226" t="n">
        <v>2</v>
      </c>
      <c r="AN1226" t="n">
        <v>7</v>
      </c>
      <c r="AO1226" t="n">
        <v>7</v>
      </c>
      <c r="AP1226" t="inlineStr">
        <is>
          <t>No</t>
        </is>
      </c>
      <c r="AQ1226" t="inlineStr">
        <is>
          <t>Yes</t>
        </is>
      </c>
      <c r="AR1226">
        <f>HYPERLINK("http://catalog.hathitrust.org/Record/001135435","HathiTrust Record")</f>
        <v/>
      </c>
      <c r="AS1226">
        <f>HYPERLINK("https://creighton-primo.hosted.exlibrisgroup.com/primo-explore/search?tab=default_tab&amp;search_scope=EVERYTHING&amp;vid=01CRU&amp;lang=en_US&amp;offset=0&amp;query=any,contains,991002095729702656","Catalog Record")</f>
        <v/>
      </c>
      <c r="AT1226">
        <f>HYPERLINK("http://www.worldcat.org/oclc/265552","WorldCat Record")</f>
        <v/>
      </c>
      <c r="AU1226" t="inlineStr">
        <is>
          <t>1382498:eng</t>
        </is>
      </c>
      <c r="AV1226" t="inlineStr">
        <is>
          <t>265552</t>
        </is>
      </c>
      <c r="AW1226" t="inlineStr">
        <is>
          <t>991002095729702656</t>
        </is>
      </c>
      <c r="AX1226" t="inlineStr">
        <is>
          <t>991002095729702656</t>
        </is>
      </c>
      <c r="AY1226" t="inlineStr">
        <is>
          <t>2267819890002656</t>
        </is>
      </c>
      <c r="AZ1226" t="inlineStr">
        <is>
          <t>BOOK</t>
        </is>
      </c>
      <c r="BC1226" t="inlineStr">
        <is>
          <t>32285000877307</t>
        </is>
      </c>
      <c r="BD1226" t="inlineStr">
        <is>
          <t>893256876</t>
        </is>
      </c>
    </row>
    <row r="1227">
      <c r="A1227" t="inlineStr">
        <is>
          <t>No</t>
        </is>
      </c>
      <c r="B1227" t="inlineStr">
        <is>
          <t>HV8699.C2 L49 2010</t>
        </is>
      </c>
      <c r="C1227" t="inlineStr">
        <is>
          <t>0                      HV 8699000C  2                  L  49          2010</t>
        </is>
      </c>
      <c r="D1227" t="inlineStr">
        <is>
          <t>The practice of execution in Canada / Ken Leyton-Brown.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Leyton-Brown, Kenneth B.</t>
        </is>
      </c>
      <c r="L1227" t="inlineStr">
        <is>
          <t>Vancouver : UBC Press, c2010.</t>
        </is>
      </c>
      <c r="M1227" t="inlineStr">
        <is>
          <t>2010</t>
        </is>
      </c>
      <c r="O1227" t="inlineStr">
        <is>
          <t>eng</t>
        </is>
      </c>
      <c r="P1227" t="inlineStr">
        <is>
          <t>bcc</t>
        </is>
      </c>
      <c r="R1227" t="inlineStr">
        <is>
          <t xml:space="preserve">HV </t>
        </is>
      </c>
      <c r="S1227" t="n">
        <v>1</v>
      </c>
      <c r="T1227" t="n">
        <v>1</v>
      </c>
      <c r="U1227" t="inlineStr">
        <is>
          <t>2010-11-29</t>
        </is>
      </c>
      <c r="V1227" t="inlineStr">
        <is>
          <t>2010-11-29</t>
        </is>
      </c>
      <c r="W1227" t="inlineStr">
        <is>
          <t>2010-11-29</t>
        </is>
      </c>
      <c r="X1227" t="inlineStr">
        <is>
          <t>2010-11-29</t>
        </is>
      </c>
      <c r="Y1227" t="n">
        <v>251</v>
      </c>
      <c r="Z1227" t="n">
        <v>153</v>
      </c>
      <c r="AA1227" t="n">
        <v>176</v>
      </c>
      <c r="AB1227" t="n">
        <v>2</v>
      </c>
      <c r="AC1227" t="n">
        <v>2</v>
      </c>
      <c r="AD1227" t="n">
        <v>9</v>
      </c>
      <c r="AE1227" t="n">
        <v>9</v>
      </c>
      <c r="AF1227" t="n">
        <v>2</v>
      </c>
      <c r="AG1227" t="n">
        <v>2</v>
      </c>
      <c r="AH1227" t="n">
        <v>2</v>
      </c>
      <c r="AI1227" t="n">
        <v>2</v>
      </c>
      <c r="AJ1227" t="n">
        <v>2</v>
      </c>
      <c r="AK1227" t="n">
        <v>2</v>
      </c>
      <c r="AL1227" t="n">
        <v>1</v>
      </c>
      <c r="AM1227" t="n">
        <v>1</v>
      </c>
      <c r="AN1227" t="n">
        <v>4</v>
      </c>
      <c r="AO1227" t="n">
        <v>4</v>
      </c>
      <c r="AP1227" t="inlineStr">
        <is>
          <t>No</t>
        </is>
      </c>
      <c r="AQ1227" t="inlineStr">
        <is>
          <t>No</t>
        </is>
      </c>
      <c r="AS1227">
        <f>HYPERLINK("https://creighton-primo.hosted.exlibrisgroup.com/primo-explore/search?tab=default_tab&amp;search_scope=EVERYTHING&amp;vid=01CRU&amp;lang=en_US&amp;offset=0&amp;query=any,contains,991000224739702656","Catalog Record")</f>
        <v/>
      </c>
      <c r="AT1227">
        <f>HYPERLINK("http://www.worldcat.org/oclc/471042821","WorldCat Record")</f>
        <v/>
      </c>
      <c r="AU1227" t="inlineStr">
        <is>
          <t>352036762:eng</t>
        </is>
      </c>
      <c r="AV1227" t="inlineStr">
        <is>
          <t>471042821</t>
        </is>
      </c>
      <c r="AW1227" t="inlineStr">
        <is>
          <t>991000224739702656</t>
        </is>
      </c>
      <c r="AX1227" t="inlineStr">
        <is>
          <t>991000224739702656</t>
        </is>
      </c>
      <c r="AY1227" t="inlineStr">
        <is>
          <t>2255258850002656</t>
        </is>
      </c>
      <c r="AZ1227" t="inlineStr">
        <is>
          <t>BOOK</t>
        </is>
      </c>
      <c r="BB1227" t="inlineStr">
        <is>
          <t>9780774817530</t>
        </is>
      </c>
      <c r="BC1227" t="inlineStr">
        <is>
          <t>32285005607493</t>
        </is>
      </c>
      <c r="BD1227" t="inlineStr">
        <is>
          <t>893708231</t>
        </is>
      </c>
    </row>
    <row r="1228">
      <c r="A1228" t="inlineStr">
        <is>
          <t>No</t>
        </is>
      </c>
      <c r="B1228" t="inlineStr">
        <is>
          <t>HV8699.G8 C66 1974</t>
        </is>
      </c>
      <c r="C1228" t="inlineStr">
        <is>
          <t>0                      HV 8699000G  8                  C  66          1974</t>
        </is>
      </c>
      <c r="D1228" t="inlineStr">
        <is>
          <t>The lesson of the scaffold : the public execution controversy in Victorian England / David D. Cooper.</t>
        </is>
      </c>
      <c r="F1228" t="inlineStr">
        <is>
          <t>No</t>
        </is>
      </c>
      <c r="G1228" t="inlineStr">
        <is>
          <t>1</t>
        </is>
      </c>
      <c r="H1228" t="inlineStr">
        <is>
          <t>Yes</t>
        </is>
      </c>
      <c r="I1228" t="inlineStr">
        <is>
          <t>No</t>
        </is>
      </c>
      <c r="J1228" t="inlineStr">
        <is>
          <t>0</t>
        </is>
      </c>
      <c r="K1228" t="inlineStr">
        <is>
          <t>Cooper, David D., 1924-</t>
        </is>
      </c>
      <c r="L1228" t="inlineStr">
        <is>
          <t>Athens : Ohio University Press, [1974]</t>
        </is>
      </c>
      <c r="M1228" t="inlineStr">
        <is>
          <t>1974</t>
        </is>
      </c>
      <c r="O1228" t="inlineStr">
        <is>
          <t>eng</t>
        </is>
      </c>
      <c r="P1228" t="inlineStr">
        <is>
          <t>ohu</t>
        </is>
      </c>
      <c r="R1228" t="inlineStr">
        <is>
          <t xml:space="preserve">HV </t>
        </is>
      </c>
      <c r="S1228" t="n">
        <v>10</v>
      </c>
      <c r="T1228" t="n">
        <v>10</v>
      </c>
      <c r="U1228" t="inlineStr">
        <is>
          <t>1999-03-24</t>
        </is>
      </c>
      <c r="V1228" t="inlineStr">
        <is>
          <t>1999-03-24</t>
        </is>
      </c>
      <c r="W1228" t="inlineStr">
        <is>
          <t>1990-04-25</t>
        </is>
      </c>
      <c r="X1228" t="inlineStr">
        <is>
          <t>1992-07-22</t>
        </is>
      </c>
      <c r="Y1228" t="n">
        <v>476</v>
      </c>
      <c r="Z1228" t="n">
        <v>424</v>
      </c>
      <c r="AA1228" t="n">
        <v>453</v>
      </c>
      <c r="AB1228" t="n">
        <v>9</v>
      </c>
      <c r="AC1228" t="n">
        <v>9</v>
      </c>
      <c r="AD1228" t="n">
        <v>32</v>
      </c>
      <c r="AE1228" t="n">
        <v>33</v>
      </c>
      <c r="AF1228" t="n">
        <v>5</v>
      </c>
      <c r="AG1228" t="n">
        <v>5</v>
      </c>
      <c r="AH1228" t="n">
        <v>6</v>
      </c>
      <c r="AI1228" t="n">
        <v>6</v>
      </c>
      <c r="AJ1228" t="n">
        <v>11</v>
      </c>
      <c r="AK1228" t="n">
        <v>11</v>
      </c>
      <c r="AL1228" t="n">
        <v>7</v>
      </c>
      <c r="AM1228" t="n">
        <v>7</v>
      </c>
      <c r="AN1228" t="n">
        <v>9</v>
      </c>
      <c r="AO1228" t="n">
        <v>10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HYPERLINK("https://creighton-primo.hosted.exlibrisgroup.com/primo-explore/search?tab=default_tab&amp;search_scope=EVERYTHING&amp;vid=01CRU&amp;lang=en_US&amp;offset=0&amp;query=any,contains,991001692719702656","Catalog Record")</f>
        <v/>
      </c>
      <c r="AT1228">
        <f>HYPERLINK("http://www.worldcat.org/oclc/1089585","WorldCat Record")</f>
        <v/>
      </c>
      <c r="AU1228" t="inlineStr">
        <is>
          <t>2287109292:eng</t>
        </is>
      </c>
      <c r="AV1228" t="inlineStr">
        <is>
          <t>1089585</t>
        </is>
      </c>
      <c r="AW1228" t="inlineStr">
        <is>
          <t>991001692719702656</t>
        </is>
      </c>
      <c r="AX1228" t="inlineStr">
        <is>
          <t>991001692719702656</t>
        </is>
      </c>
      <c r="AY1228" t="inlineStr">
        <is>
          <t>2272374640002656</t>
        </is>
      </c>
      <c r="AZ1228" t="inlineStr">
        <is>
          <t>BOOK</t>
        </is>
      </c>
      <c r="BB1228" t="inlineStr">
        <is>
          <t>9780821401484</t>
        </is>
      </c>
      <c r="BC1228" t="inlineStr">
        <is>
          <t>32285000119080</t>
        </is>
      </c>
      <c r="BD1228" t="inlineStr">
        <is>
          <t>893232171</t>
        </is>
      </c>
    </row>
    <row r="1229">
      <c r="A1229" t="inlineStr">
        <is>
          <t>No</t>
        </is>
      </c>
      <c r="B1229" t="inlineStr">
        <is>
          <t>HV8699.U5 B393 2007</t>
        </is>
      </c>
      <c r="C1229" t="inlineStr">
        <is>
          <t>0                      HV 8699000U  5                  B  393         2007</t>
        </is>
      </c>
      <c r="D1229" t="inlineStr">
        <is>
          <t>In the shadow of death : restorative justice and death row families / Elizabeth Beck, Sarah Britto, and Arlene Andrews.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Beck, Elizabeth.</t>
        </is>
      </c>
      <c r="L1229" t="inlineStr">
        <is>
          <t>Oxford ; New York : Oxford University Press, 2007.</t>
        </is>
      </c>
      <c r="M1229" t="inlineStr">
        <is>
          <t>2007</t>
        </is>
      </c>
      <c r="O1229" t="inlineStr">
        <is>
          <t>eng</t>
        </is>
      </c>
      <c r="P1229" t="inlineStr">
        <is>
          <t>enk</t>
        </is>
      </c>
      <c r="R1229" t="inlineStr">
        <is>
          <t xml:space="preserve">HV </t>
        </is>
      </c>
      <c r="S1229" t="n">
        <v>3</v>
      </c>
      <c r="T1229" t="n">
        <v>3</v>
      </c>
      <c r="U1229" t="inlineStr">
        <is>
          <t>2009-12-03</t>
        </is>
      </c>
      <c r="V1229" t="inlineStr">
        <is>
          <t>2009-12-03</t>
        </is>
      </c>
      <c r="W1229" t="inlineStr">
        <is>
          <t>2008-05-07</t>
        </is>
      </c>
      <c r="X1229" t="inlineStr">
        <is>
          <t>2008-05-07</t>
        </is>
      </c>
      <c r="Y1229" t="n">
        <v>829</v>
      </c>
      <c r="Z1229" t="n">
        <v>745</v>
      </c>
      <c r="AA1229" t="n">
        <v>1263</v>
      </c>
      <c r="AB1229" t="n">
        <v>4</v>
      </c>
      <c r="AC1229" t="n">
        <v>16</v>
      </c>
      <c r="AD1229" t="n">
        <v>41</v>
      </c>
      <c r="AE1229" t="n">
        <v>62</v>
      </c>
      <c r="AF1229" t="n">
        <v>18</v>
      </c>
      <c r="AG1229" t="n">
        <v>21</v>
      </c>
      <c r="AH1229" t="n">
        <v>6</v>
      </c>
      <c r="AI1229" t="n">
        <v>10</v>
      </c>
      <c r="AJ1229" t="n">
        <v>18</v>
      </c>
      <c r="AK1229" t="n">
        <v>22</v>
      </c>
      <c r="AL1229" t="n">
        <v>3</v>
      </c>
      <c r="AM1229" t="n">
        <v>13</v>
      </c>
      <c r="AN1229" t="n">
        <v>6</v>
      </c>
      <c r="AO1229" t="n">
        <v>7</v>
      </c>
      <c r="AP1229" t="inlineStr">
        <is>
          <t>No</t>
        </is>
      </c>
      <c r="AQ1229" t="inlineStr">
        <is>
          <t>No</t>
        </is>
      </c>
      <c r="AS1229">
        <f>HYPERLINK("https://creighton-primo.hosted.exlibrisgroup.com/primo-explore/search?tab=default_tab&amp;search_scope=EVERYTHING&amp;vid=01CRU&amp;lang=en_US&amp;offset=0&amp;query=any,contains,991005212199702656","Catalog Record")</f>
        <v/>
      </c>
      <c r="AT1229">
        <f>HYPERLINK("http://www.worldcat.org/oclc/70823095","WorldCat Record")</f>
        <v/>
      </c>
      <c r="AU1229" t="inlineStr">
        <is>
          <t>802577526:eng</t>
        </is>
      </c>
      <c r="AV1229" t="inlineStr">
        <is>
          <t>70823095</t>
        </is>
      </c>
      <c r="AW1229" t="inlineStr">
        <is>
          <t>991005212199702656</t>
        </is>
      </c>
      <c r="AX1229" t="inlineStr">
        <is>
          <t>991005212199702656</t>
        </is>
      </c>
      <c r="AY1229" t="inlineStr">
        <is>
          <t>2264558590002656</t>
        </is>
      </c>
      <c r="AZ1229" t="inlineStr">
        <is>
          <t>BOOK</t>
        </is>
      </c>
      <c r="BB1229" t="inlineStr">
        <is>
          <t>9780195179415</t>
        </is>
      </c>
      <c r="BC1229" t="inlineStr">
        <is>
          <t>32285005405815</t>
        </is>
      </c>
      <c r="BD1229" t="inlineStr">
        <is>
          <t>893613313</t>
        </is>
      </c>
    </row>
    <row r="1230">
      <c r="A1230" t="inlineStr">
        <is>
          <t>No</t>
        </is>
      </c>
      <c r="B1230" t="inlineStr">
        <is>
          <t>HV8699.U5 B47 1997</t>
        </is>
      </c>
      <c r="C1230" t="inlineStr">
        <is>
          <t>0                      HV 8699000U  5                  B  47          1997</t>
        </is>
      </c>
      <c r="D1230" t="inlineStr">
        <is>
          <t>Death in the dark : midnight executions in America / John D. Bessler.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Bessler, John D.</t>
        </is>
      </c>
      <c r="L1230" t="inlineStr">
        <is>
          <t>Boston : Northeastern University Press, c1997.</t>
        </is>
      </c>
      <c r="M1230" t="inlineStr">
        <is>
          <t>1997</t>
        </is>
      </c>
      <c r="O1230" t="inlineStr">
        <is>
          <t>eng</t>
        </is>
      </c>
      <c r="P1230" t="inlineStr">
        <is>
          <t>mau</t>
        </is>
      </c>
      <c r="R1230" t="inlineStr">
        <is>
          <t xml:space="preserve">HV </t>
        </is>
      </c>
      <c r="S1230" t="n">
        <v>9</v>
      </c>
      <c r="T1230" t="n">
        <v>9</v>
      </c>
      <c r="U1230" t="inlineStr">
        <is>
          <t>2004-09-07</t>
        </is>
      </c>
      <c r="V1230" t="inlineStr">
        <is>
          <t>2004-09-07</t>
        </is>
      </c>
      <c r="W1230" t="inlineStr">
        <is>
          <t>1998-06-10</t>
        </is>
      </c>
      <c r="X1230" t="inlineStr">
        <is>
          <t>1998-06-10</t>
        </is>
      </c>
      <c r="Y1230" t="n">
        <v>856</v>
      </c>
      <c r="Z1230" t="n">
        <v>807</v>
      </c>
      <c r="AA1230" t="n">
        <v>813</v>
      </c>
      <c r="AB1230" t="n">
        <v>6</v>
      </c>
      <c r="AC1230" t="n">
        <v>6</v>
      </c>
      <c r="AD1230" t="n">
        <v>44</v>
      </c>
      <c r="AE1230" t="n">
        <v>44</v>
      </c>
      <c r="AF1230" t="n">
        <v>13</v>
      </c>
      <c r="AG1230" t="n">
        <v>13</v>
      </c>
      <c r="AH1230" t="n">
        <v>8</v>
      </c>
      <c r="AI1230" t="n">
        <v>8</v>
      </c>
      <c r="AJ1230" t="n">
        <v>19</v>
      </c>
      <c r="AK1230" t="n">
        <v>19</v>
      </c>
      <c r="AL1230" t="n">
        <v>5</v>
      </c>
      <c r="AM1230" t="n">
        <v>5</v>
      </c>
      <c r="AN1230" t="n">
        <v>10</v>
      </c>
      <c r="AO1230" t="n">
        <v>10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HYPERLINK("https://creighton-primo.hosted.exlibrisgroup.com/primo-explore/search?tab=default_tab&amp;search_scope=EVERYTHING&amp;vid=01CRU&amp;lang=en_US&amp;offset=0&amp;query=any,contains,991002782389702656","Catalog Record")</f>
        <v/>
      </c>
      <c r="AT1230">
        <f>HYPERLINK("http://www.worldcat.org/oclc/36528311","WorldCat Record")</f>
        <v/>
      </c>
      <c r="AU1230" t="inlineStr">
        <is>
          <t>665669:eng</t>
        </is>
      </c>
      <c r="AV1230" t="inlineStr">
        <is>
          <t>36528311</t>
        </is>
      </c>
      <c r="AW1230" t="inlineStr">
        <is>
          <t>991002782389702656</t>
        </is>
      </c>
      <c r="AX1230" t="inlineStr">
        <is>
          <t>991002782389702656</t>
        </is>
      </c>
      <c r="AY1230" t="inlineStr">
        <is>
          <t>2262793520002656</t>
        </is>
      </c>
      <c r="AZ1230" t="inlineStr">
        <is>
          <t>BOOK</t>
        </is>
      </c>
      <c r="BB1230" t="inlineStr">
        <is>
          <t>9781555533229</t>
        </is>
      </c>
      <c r="BC1230" t="inlineStr">
        <is>
          <t>32285003414645</t>
        </is>
      </c>
      <c r="BD1230" t="inlineStr">
        <is>
          <t>893504809</t>
        </is>
      </c>
    </row>
    <row r="1231">
      <c r="A1231" t="inlineStr">
        <is>
          <t>No</t>
        </is>
      </c>
      <c r="B1231" t="inlineStr">
        <is>
          <t>HV8699.U5 C3 1997</t>
        </is>
      </c>
      <c r="C1231" t="inlineStr">
        <is>
          <t>0                      HV 8699000U  5                  C  3           1997</t>
        </is>
      </c>
      <c r="D1231" t="inlineStr">
        <is>
          <t>Capital punishment in the United States : a documentary history / edited by Bryan Vila and Cynthia Morris.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L1231" t="inlineStr">
        <is>
          <t>Westport, Conn. : Greenwood Press, 1997.</t>
        </is>
      </c>
      <c r="M1231" t="inlineStr">
        <is>
          <t>1997</t>
        </is>
      </c>
      <c r="O1231" t="inlineStr">
        <is>
          <t>eng</t>
        </is>
      </c>
      <c r="P1231" t="inlineStr">
        <is>
          <t>ctu</t>
        </is>
      </c>
      <c r="Q1231" t="inlineStr">
        <is>
          <t>Primary documents in American history and contemporary issues, 1069-5605</t>
        </is>
      </c>
      <c r="R1231" t="inlineStr">
        <is>
          <t xml:space="preserve">HV </t>
        </is>
      </c>
      <c r="S1231" t="n">
        <v>43</v>
      </c>
      <c r="T1231" t="n">
        <v>43</v>
      </c>
      <c r="U1231" t="inlineStr">
        <is>
          <t>2008-12-07</t>
        </is>
      </c>
      <c r="V1231" t="inlineStr">
        <is>
          <t>2008-12-07</t>
        </is>
      </c>
      <c r="W1231" t="inlineStr">
        <is>
          <t>1997-11-25</t>
        </is>
      </c>
      <c r="X1231" t="inlineStr">
        <is>
          <t>1997-11-25</t>
        </is>
      </c>
      <c r="Y1231" t="n">
        <v>957</v>
      </c>
      <c r="Z1231" t="n">
        <v>915</v>
      </c>
      <c r="AA1231" t="n">
        <v>916</v>
      </c>
      <c r="AB1231" t="n">
        <v>6</v>
      </c>
      <c r="AC1231" t="n">
        <v>6</v>
      </c>
      <c r="AD1231" t="n">
        <v>39</v>
      </c>
      <c r="AE1231" t="n">
        <v>39</v>
      </c>
      <c r="AF1231" t="n">
        <v>12</v>
      </c>
      <c r="AG1231" t="n">
        <v>12</v>
      </c>
      <c r="AH1231" t="n">
        <v>7</v>
      </c>
      <c r="AI1231" t="n">
        <v>7</v>
      </c>
      <c r="AJ1231" t="n">
        <v>12</v>
      </c>
      <c r="AK1231" t="n">
        <v>12</v>
      </c>
      <c r="AL1231" t="n">
        <v>5</v>
      </c>
      <c r="AM1231" t="n">
        <v>5</v>
      </c>
      <c r="AN1231" t="n">
        <v>11</v>
      </c>
      <c r="AO1231" t="n">
        <v>11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HYPERLINK("https://creighton-primo.hosted.exlibrisgroup.com/primo-explore/search?tab=default_tab&amp;search_scope=EVERYTHING&amp;vid=01CRU&amp;lang=en_US&amp;offset=0&amp;query=any,contains,991002740839702656","Catalog Record")</f>
        <v/>
      </c>
      <c r="AT1231">
        <f>HYPERLINK("http://www.worldcat.org/oclc/35990406","WorldCat Record")</f>
        <v/>
      </c>
      <c r="AU1231" t="inlineStr">
        <is>
          <t>837039147:eng</t>
        </is>
      </c>
      <c r="AV1231" t="inlineStr">
        <is>
          <t>35990406</t>
        </is>
      </c>
      <c r="AW1231" t="inlineStr">
        <is>
          <t>991002740839702656</t>
        </is>
      </c>
      <c r="AX1231" t="inlineStr">
        <is>
          <t>991002740839702656</t>
        </is>
      </c>
      <c r="AY1231" t="inlineStr">
        <is>
          <t>2264391260002656</t>
        </is>
      </c>
      <c r="AZ1231" t="inlineStr">
        <is>
          <t>BOOK</t>
        </is>
      </c>
      <c r="BB1231" t="inlineStr">
        <is>
          <t>9780313299421</t>
        </is>
      </c>
      <c r="BC1231" t="inlineStr">
        <is>
          <t>32285003274387</t>
        </is>
      </c>
      <c r="BD1231" t="inlineStr">
        <is>
          <t>893511125</t>
        </is>
      </c>
    </row>
    <row r="1232">
      <c r="A1232" t="inlineStr">
        <is>
          <t>No</t>
        </is>
      </c>
      <c r="B1232" t="inlineStr">
        <is>
          <t>HV8699.U5 F33 1989</t>
        </is>
      </c>
      <c r="C1232" t="inlineStr">
        <is>
          <t>0                      HV 8699000U  5                  F  33          1989</t>
        </is>
      </c>
      <c r="D1232" t="inlineStr">
        <is>
          <t>Facing the death penalty : essays on a cruel and unusual punishment / edited by Michael L. Radelet.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L1232" t="inlineStr">
        <is>
          <t>Philadelphia : Temple University Press, 1989.</t>
        </is>
      </c>
      <c r="M1232" t="inlineStr">
        <is>
          <t>1989</t>
        </is>
      </c>
      <c r="O1232" t="inlineStr">
        <is>
          <t>eng</t>
        </is>
      </c>
      <c r="P1232" t="inlineStr">
        <is>
          <t>pau</t>
        </is>
      </c>
      <c r="R1232" t="inlineStr">
        <is>
          <t xml:space="preserve">HV </t>
        </is>
      </c>
      <c r="S1232" t="n">
        <v>62</v>
      </c>
      <c r="T1232" t="n">
        <v>62</v>
      </c>
      <c r="U1232" t="inlineStr">
        <is>
          <t>2003-11-20</t>
        </is>
      </c>
      <c r="V1232" t="inlineStr">
        <is>
          <t>2003-11-20</t>
        </is>
      </c>
      <c r="W1232" t="inlineStr">
        <is>
          <t>1990-05-08</t>
        </is>
      </c>
      <c r="X1232" t="inlineStr">
        <is>
          <t>1990-05-08</t>
        </is>
      </c>
      <c r="Y1232" t="n">
        <v>953</v>
      </c>
      <c r="Z1232" t="n">
        <v>870</v>
      </c>
      <c r="AA1232" t="n">
        <v>1050</v>
      </c>
      <c r="AB1232" t="n">
        <v>7</v>
      </c>
      <c r="AC1232" t="n">
        <v>7</v>
      </c>
      <c r="AD1232" t="n">
        <v>53</v>
      </c>
      <c r="AE1232" t="n">
        <v>57</v>
      </c>
      <c r="AF1232" t="n">
        <v>16</v>
      </c>
      <c r="AG1232" t="n">
        <v>19</v>
      </c>
      <c r="AH1232" t="n">
        <v>9</v>
      </c>
      <c r="AI1232" t="n">
        <v>10</v>
      </c>
      <c r="AJ1232" t="n">
        <v>15</v>
      </c>
      <c r="AK1232" t="n">
        <v>16</v>
      </c>
      <c r="AL1232" t="n">
        <v>6</v>
      </c>
      <c r="AM1232" t="n">
        <v>6</v>
      </c>
      <c r="AN1232" t="n">
        <v>16</v>
      </c>
      <c r="AO1232" t="n">
        <v>16</v>
      </c>
      <c r="AP1232" t="inlineStr">
        <is>
          <t>No</t>
        </is>
      </c>
      <c r="AQ1232" t="inlineStr">
        <is>
          <t>No</t>
        </is>
      </c>
      <c r="AS1232">
        <f>HYPERLINK("https://creighton-primo.hosted.exlibrisgroup.com/primo-explore/search?tab=default_tab&amp;search_scope=EVERYTHING&amp;vid=01CRU&amp;lang=en_US&amp;offset=0&amp;query=any,contains,991001400949702656","Catalog Record")</f>
        <v/>
      </c>
      <c r="AT1232">
        <f>HYPERLINK("http://www.worldcat.org/oclc/18817456","WorldCat Record")</f>
        <v/>
      </c>
      <c r="AU1232" t="inlineStr">
        <is>
          <t>18500150:eng</t>
        </is>
      </c>
      <c r="AV1232" t="inlineStr">
        <is>
          <t>18817456</t>
        </is>
      </c>
      <c r="AW1232" t="inlineStr">
        <is>
          <t>991001400949702656</t>
        </is>
      </c>
      <c r="AX1232" t="inlineStr">
        <is>
          <t>991001400949702656</t>
        </is>
      </c>
      <c r="AY1232" t="inlineStr">
        <is>
          <t>2268598950002656</t>
        </is>
      </c>
      <c r="AZ1232" t="inlineStr">
        <is>
          <t>BOOK</t>
        </is>
      </c>
      <c r="BB1232" t="inlineStr">
        <is>
          <t>9780877226116</t>
        </is>
      </c>
      <c r="BC1232" t="inlineStr">
        <is>
          <t>32285000135193</t>
        </is>
      </c>
      <c r="BD1232" t="inlineStr">
        <is>
          <t>893340413</t>
        </is>
      </c>
    </row>
    <row r="1233">
      <c r="A1233" t="inlineStr">
        <is>
          <t>No</t>
        </is>
      </c>
      <c r="B1233" t="inlineStr">
        <is>
          <t>HV8699.U5 G35 2002</t>
        </is>
      </c>
      <c r="C1233" t="inlineStr">
        <is>
          <t>0                      HV 8699000U  5                  G  35          2002</t>
        </is>
      </c>
      <c r="D1233" t="inlineStr">
        <is>
          <t>America without the death penalty : states leading the way / John F. Galliher ... [et al.].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Galliher, John F.</t>
        </is>
      </c>
      <c r="L1233" t="inlineStr">
        <is>
          <t>Boston : Northeastern University Press, c2002.</t>
        </is>
      </c>
      <c r="M1233" t="inlineStr">
        <is>
          <t>2002</t>
        </is>
      </c>
      <c r="O1233" t="inlineStr">
        <is>
          <t>eng</t>
        </is>
      </c>
      <c r="P1233" t="inlineStr">
        <is>
          <t>mau</t>
        </is>
      </c>
      <c r="R1233" t="inlineStr">
        <is>
          <t xml:space="preserve">HV </t>
        </is>
      </c>
      <c r="S1233" t="n">
        <v>19</v>
      </c>
      <c r="T1233" t="n">
        <v>19</v>
      </c>
      <c r="U1233" t="inlineStr">
        <is>
          <t>2009-12-03</t>
        </is>
      </c>
      <c r="V1233" t="inlineStr">
        <is>
          <t>2009-12-03</t>
        </is>
      </c>
      <c r="W1233" t="inlineStr">
        <is>
          <t>2002-08-22</t>
        </is>
      </c>
      <c r="X1233" t="inlineStr">
        <is>
          <t>2002-08-22</t>
        </is>
      </c>
      <c r="Y1233" t="n">
        <v>1086</v>
      </c>
      <c r="Z1233" t="n">
        <v>1039</v>
      </c>
      <c r="AA1233" t="n">
        <v>1071</v>
      </c>
      <c r="AB1233" t="n">
        <v>7</v>
      </c>
      <c r="AC1233" t="n">
        <v>7</v>
      </c>
      <c r="AD1233" t="n">
        <v>43</v>
      </c>
      <c r="AE1233" t="n">
        <v>44</v>
      </c>
      <c r="AF1233" t="n">
        <v>17</v>
      </c>
      <c r="AG1233" t="n">
        <v>17</v>
      </c>
      <c r="AH1233" t="n">
        <v>7</v>
      </c>
      <c r="AI1233" t="n">
        <v>7</v>
      </c>
      <c r="AJ1233" t="n">
        <v>15</v>
      </c>
      <c r="AK1233" t="n">
        <v>15</v>
      </c>
      <c r="AL1233" t="n">
        <v>4</v>
      </c>
      <c r="AM1233" t="n">
        <v>4</v>
      </c>
      <c r="AN1233" t="n">
        <v>8</v>
      </c>
      <c r="AO1233" t="n">
        <v>9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HYPERLINK("https://creighton-primo.hosted.exlibrisgroup.com/primo-explore/search?tab=default_tab&amp;search_scope=EVERYTHING&amp;vid=01CRU&amp;lang=en_US&amp;offset=0&amp;query=any,contains,991003845109702656","Catalog Record")</f>
        <v/>
      </c>
      <c r="AT1233">
        <f>HYPERLINK("http://www.worldcat.org/oclc/49576820","WorldCat Record")</f>
        <v/>
      </c>
      <c r="AU1233" t="inlineStr">
        <is>
          <t>839408477:eng</t>
        </is>
      </c>
      <c r="AV1233" t="inlineStr">
        <is>
          <t>49576820</t>
        </is>
      </c>
      <c r="AW1233" t="inlineStr">
        <is>
          <t>991003845109702656</t>
        </is>
      </c>
      <c r="AX1233" t="inlineStr">
        <is>
          <t>991003845109702656</t>
        </is>
      </c>
      <c r="AY1233" t="inlineStr">
        <is>
          <t>2260693690002656</t>
        </is>
      </c>
      <c r="AZ1233" t="inlineStr">
        <is>
          <t>BOOK</t>
        </is>
      </c>
      <c r="BB1233" t="inlineStr">
        <is>
          <t>9781555535292</t>
        </is>
      </c>
      <c r="BC1233" t="inlineStr">
        <is>
          <t>32285004644505</t>
        </is>
      </c>
      <c r="BD1233" t="inlineStr">
        <is>
          <t>893525304</t>
        </is>
      </c>
    </row>
    <row r="1234">
      <c r="A1234" t="inlineStr">
        <is>
          <t>No</t>
        </is>
      </c>
      <c r="B1234" t="inlineStr">
        <is>
          <t>HV8699.U5 G76 1989</t>
        </is>
      </c>
      <c r="C1234" t="inlineStr">
        <is>
          <t>0                      HV 8699000U  5                  G  76          1989</t>
        </is>
      </c>
      <c r="D1234" t="inlineStr">
        <is>
          <t>Death &amp; discrimination : racial disparities in capital sentencing / Samuel R. Gross &amp; Robert Mauro.</t>
        </is>
      </c>
      <c r="F1234" t="inlineStr">
        <is>
          <t>No</t>
        </is>
      </c>
      <c r="G1234" t="inlineStr">
        <is>
          <t>1</t>
        </is>
      </c>
      <c r="H1234" t="inlineStr">
        <is>
          <t>Yes</t>
        </is>
      </c>
      <c r="I1234" t="inlineStr">
        <is>
          <t>No</t>
        </is>
      </c>
      <c r="J1234" t="inlineStr">
        <is>
          <t>0</t>
        </is>
      </c>
      <c r="K1234" t="inlineStr">
        <is>
          <t>Gross, Samuel R.</t>
        </is>
      </c>
      <c r="L1234" t="inlineStr">
        <is>
          <t>Boston : Northeastern University Press, c1989.</t>
        </is>
      </c>
      <c r="M1234" t="inlineStr">
        <is>
          <t>1989</t>
        </is>
      </c>
      <c r="O1234" t="inlineStr">
        <is>
          <t>eng</t>
        </is>
      </c>
      <c r="P1234" t="inlineStr">
        <is>
          <t>mau</t>
        </is>
      </c>
      <c r="R1234" t="inlineStr">
        <is>
          <t xml:space="preserve">HV </t>
        </is>
      </c>
      <c r="S1234" t="n">
        <v>60</v>
      </c>
      <c r="T1234" t="n">
        <v>65</v>
      </c>
      <c r="U1234" t="inlineStr">
        <is>
          <t>2007-10-28</t>
        </is>
      </c>
      <c r="V1234" t="inlineStr">
        <is>
          <t>2007-10-28</t>
        </is>
      </c>
      <c r="W1234" t="inlineStr">
        <is>
          <t>1990-04-25</t>
        </is>
      </c>
      <c r="X1234" t="inlineStr">
        <is>
          <t>1991-08-16</t>
        </is>
      </c>
      <c r="Y1234" t="n">
        <v>842</v>
      </c>
      <c r="Z1234" t="n">
        <v>777</v>
      </c>
      <c r="AA1234" t="n">
        <v>777</v>
      </c>
      <c r="AB1234" t="n">
        <v>7</v>
      </c>
      <c r="AC1234" t="n">
        <v>7</v>
      </c>
      <c r="AD1234" t="n">
        <v>52</v>
      </c>
      <c r="AE1234" t="n">
        <v>52</v>
      </c>
      <c r="AF1234" t="n">
        <v>16</v>
      </c>
      <c r="AG1234" t="n">
        <v>16</v>
      </c>
      <c r="AH1234" t="n">
        <v>8</v>
      </c>
      <c r="AI1234" t="n">
        <v>8</v>
      </c>
      <c r="AJ1234" t="n">
        <v>18</v>
      </c>
      <c r="AK1234" t="n">
        <v>18</v>
      </c>
      <c r="AL1234" t="n">
        <v>4</v>
      </c>
      <c r="AM1234" t="n">
        <v>4</v>
      </c>
      <c r="AN1234" t="n">
        <v>17</v>
      </c>
      <c r="AO1234" t="n">
        <v>17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HYPERLINK("https://creighton-primo.hosted.exlibrisgroup.com/primo-explore/search?tab=default_tab&amp;search_scope=EVERYTHING&amp;vid=01CRU&amp;lang=en_US&amp;offset=0&amp;query=any,contains,991001639609702656","Catalog Record")</f>
        <v/>
      </c>
      <c r="AT1234">
        <f>HYPERLINK("http://www.worldcat.org/oclc/18350204","WorldCat Record")</f>
        <v/>
      </c>
      <c r="AU1234" t="inlineStr">
        <is>
          <t>132660161:eng</t>
        </is>
      </c>
      <c r="AV1234" t="inlineStr">
        <is>
          <t>18350204</t>
        </is>
      </c>
      <c r="AW1234" t="inlineStr">
        <is>
          <t>991001639609702656</t>
        </is>
      </c>
      <c r="AX1234" t="inlineStr">
        <is>
          <t>991001639609702656</t>
        </is>
      </c>
      <c r="AY1234" t="inlineStr">
        <is>
          <t>2262761980002656</t>
        </is>
      </c>
      <c r="AZ1234" t="inlineStr">
        <is>
          <t>BOOK</t>
        </is>
      </c>
      <c r="BB1234" t="inlineStr">
        <is>
          <t>9781555530402</t>
        </is>
      </c>
      <c r="BC1234" t="inlineStr">
        <is>
          <t>32285000133305</t>
        </is>
      </c>
      <c r="BD1234" t="inlineStr">
        <is>
          <t>893346652</t>
        </is>
      </c>
    </row>
    <row r="1235">
      <c r="A1235" t="inlineStr">
        <is>
          <t>No</t>
        </is>
      </c>
      <c r="B1235" t="inlineStr">
        <is>
          <t>HV8699.U5 H36 1997</t>
        </is>
      </c>
      <c r="C1235" t="inlineStr">
        <is>
          <t>0                      HV 8699000U  5                  H  36          1997</t>
        </is>
      </c>
      <c r="D1235" t="inlineStr">
        <is>
          <t>A review of juvenile executions in America / Robert L. Hale.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Hale, Robert L. (Robert Legan)</t>
        </is>
      </c>
      <c r="L1235" t="inlineStr">
        <is>
          <t>Lewiston, N.Y., USA : The Edwin Mellen Press, c1997.</t>
        </is>
      </c>
      <c r="M1235" t="inlineStr">
        <is>
          <t>1997</t>
        </is>
      </c>
      <c r="O1235" t="inlineStr">
        <is>
          <t>eng</t>
        </is>
      </c>
      <c r="P1235" t="inlineStr">
        <is>
          <t>nyu</t>
        </is>
      </c>
      <c r="Q1235" t="inlineStr">
        <is>
          <t>Criminology studies ; v. 3</t>
        </is>
      </c>
      <c r="R1235" t="inlineStr">
        <is>
          <t xml:space="preserve">HV </t>
        </is>
      </c>
      <c r="S1235" t="n">
        <v>11</v>
      </c>
      <c r="T1235" t="n">
        <v>11</v>
      </c>
      <c r="U1235" t="inlineStr">
        <is>
          <t>2004-03-30</t>
        </is>
      </c>
      <c r="V1235" t="inlineStr">
        <is>
          <t>2004-03-30</t>
        </is>
      </c>
      <c r="W1235" t="inlineStr">
        <is>
          <t>1999-02-25</t>
        </is>
      </c>
      <c r="X1235" t="inlineStr">
        <is>
          <t>1999-02-25</t>
        </is>
      </c>
      <c r="Y1235" t="n">
        <v>313</v>
      </c>
      <c r="Z1235" t="n">
        <v>289</v>
      </c>
      <c r="AA1235" t="n">
        <v>289</v>
      </c>
      <c r="AB1235" t="n">
        <v>2</v>
      </c>
      <c r="AC1235" t="n">
        <v>2</v>
      </c>
      <c r="AD1235" t="n">
        <v>15</v>
      </c>
      <c r="AE1235" t="n">
        <v>15</v>
      </c>
      <c r="AF1235" t="n">
        <v>4</v>
      </c>
      <c r="AG1235" t="n">
        <v>4</v>
      </c>
      <c r="AH1235" t="n">
        <v>3</v>
      </c>
      <c r="AI1235" t="n">
        <v>3</v>
      </c>
      <c r="AJ1235" t="n">
        <v>2</v>
      </c>
      <c r="AK1235" t="n">
        <v>2</v>
      </c>
      <c r="AL1235" t="n">
        <v>1</v>
      </c>
      <c r="AM1235" t="n">
        <v>1</v>
      </c>
      <c r="AN1235" t="n">
        <v>7</v>
      </c>
      <c r="AO1235" t="n">
        <v>7</v>
      </c>
      <c r="AP1235" t="inlineStr">
        <is>
          <t>No</t>
        </is>
      </c>
      <c r="AQ1235" t="inlineStr">
        <is>
          <t>No</t>
        </is>
      </c>
      <c r="AS1235">
        <f>HYPERLINK("https://creighton-primo.hosted.exlibrisgroup.com/primo-explore/search?tab=default_tab&amp;search_scope=EVERYTHING&amp;vid=01CRU&amp;lang=en_US&amp;offset=0&amp;query=any,contains,991002844149702656","Catalog Record")</f>
        <v/>
      </c>
      <c r="AT1235">
        <f>HYPERLINK("http://www.worldcat.org/oclc/37465281","WorldCat Record")</f>
        <v/>
      </c>
      <c r="AU1235" t="inlineStr">
        <is>
          <t>596421:eng</t>
        </is>
      </c>
      <c r="AV1235" t="inlineStr">
        <is>
          <t>37465281</t>
        </is>
      </c>
      <c r="AW1235" t="inlineStr">
        <is>
          <t>991002844149702656</t>
        </is>
      </c>
      <c r="AX1235" t="inlineStr">
        <is>
          <t>991002844149702656</t>
        </is>
      </c>
      <c r="AY1235" t="inlineStr">
        <is>
          <t>2258508230002656</t>
        </is>
      </c>
      <c r="AZ1235" t="inlineStr">
        <is>
          <t>BOOK</t>
        </is>
      </c>
      <c r="BB1235" t="inlineStr">
        <is>
          <t>9780773485471</t>
        </is>
      </c>
      <c r="BC1235" t="inlineStr">
        <is>
          <t>32285003527248</t>
        </is>
      </c>
      <c r="BD1235" t="inlineStr">
        <is>
          <t>893793009</t>
        </is>
      </c>
    </row>
    <row r="1236">
      <c r="A1236" t="inlineStr">
        <is>
          <t>No</t>
        </is>
      </c>
      <c r="B1236" t="inlineStr">
        <is>
          <t>HV8699.U5 H37 1997</t>
        </is>
      </c>
      <c r="C1236" t="inlineStr">
        <is>
          <t>0                      HV 8699000U  5                  H  37          1997</t>
        </is>
      </c>
      <c r="D1236" t="inlineStr">
        <is>
          <t>The geography of execution : the capital punishment quagmire in America / Keith Harries, Derral Cheatwood.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Harries, Keith D.</t>
        </is>
      </c>
      <c r="L1236" t="inlineStr">
        <is>
          <t>Lanham, Md. : Rowman &amp; Littlefield, c1997.</t>
        </is>
      </c>
      <c r="M1236" t="inlineStr">
        <is>
          <t>1997</t>
        </is>
      </c>
      <c r="O1236" t="inlineStr">
        <is>
          <t>eng</t>
        </is>
      </c>
      <c r="P1236" t="inlineStr">
        <is>
          <t>mdu</t>
        </is>
      </c>
      <c r="R1236" t="inlineStr">
        <is>
          <t xml:space="preserve">HV </t>
        </is>
      </c>
      <c r="S1236" t="n">
        <v>26</v>
      </c>
      <c r="T1236" t="n">
        <v>26</v>
      </c>
      <c r="U1236" t="inlineStr">
        <is>
          <t>2008-12-07</t>
        </is>
      </c>
      <c r="V1236" t="inlineStr">
        <is>
          <t>2008-12-07</t>
        </is>
      </c>
      <c r="W1236" t="inlineStr">
        <is>
          <t>1997-04-01</t>
        </is>
      </c>
      <c r="X1236" t="inlineStr">
        <is>
          <t>1997-04-01</t>
        </is>
      </c>
      <c r="Y1236" t="n">
        <v>460</v>
      </c>
      <c r="Z1236" t="n">
        <v>427</v>
      </c>
      <c r="AA1236" t="n">
        <v>434</v>
      </c>
      <c r="AB1236" t="n">
        <v>3</v>
      </c>
      <c r="AC1236" t="n">
        <v>3</v>
      </c>
      <c r="AD1236" t="n">
        <v>27</v>
      </c>
      <c r="AE1236" t="n">
        <v>27</v>
      </c>
      <c r="AF1236" t="n">
        <v>10</v>
      </c>
      <c r="AG1236" t="n">
        <v>10</v>
      </c>
      <c r="AH1236" t="n">
        <v>5</v>
      </c>
      <c r="AI1236" t="n">
        <v>5</v>
      </c>
      <c r="AJ1236" t="n">
        <v>10</v>
      </c>
      <c r="AK1236" t="n">
        <v>10</v>
      </c>
      <c r="AL1236" t="n">
        <v>2</v>
      </c>
      <c r="AM1236" t="n">
        <v>2</v>
      </c>
      <c r="AN1236" t="n">
        <v>7</v>
      </c>
      <c r="AO1236" t="n">
        <v>7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HYPERLINK("http://catalog.hathitrust.org/Record/003148525","HathiTrust Record")</f>
        <v/>
      </c>
      <c r="AS1236">
        <f>HYPERLINK("https://creighton-primo.hosted.exlibrisgroup.com/primo-explore/search?tab=default_tab&amp;search_scope=EVERYTHING&amp;vid=01CRU&amp;lang=en_US&amp;offset=0&amp;query=any,contains,991002710089702656","Catalog Record")</f>
        <v/>
      </c>
      <c r="AT1236">
        <f>HYPERLINK("http://www.worldcat.org/oclc/35521723","WorldCat Record")</f>
        <v/>
      </c>
      <c r="AU1236" t="inlineStr">
        <is>
          <t>335410444:eng</t>
        </is>
      </c>
      <c r="AV1236" t="inlineStr">
        <is>
          <t>35521723</t>
        </is>
      </c>
      <c r="AW1236" t="inlineStr">
        <is>
          <t>991002710089702656</t>
        </is>
      </c>
      <c r="AX1236" t="inlineStr">
        <is>
          <t>991002710089702656</t>
        </is>
      </c>
      <c r="AY1236" t="inlineStr">
        <is>
          <t>2257151030002656</t>
        </is>
      </c>
      <c r="AZ1236" t="inlineStr">
        <is>
          <t>BOOK</t>
        </is>
      </c>
      <c r="BB1236" t="inlineStr">
        <is>
          <t>9780847681563</t>
        </is>
      </c>
      <c r="BC1236" t="inlineStr">
        <is>
          <t>32285002477536</t>
        </is>
      </c>
      <c r="BD1236" t="inlineStr">
        <is>
          <t>893597780</t>
        </is>
      </c>
    </row>
    <row r="1237">
      <c r="A1237" t="inlineStr">
        <is>
          <t>No</t>
        </is>
      </c>
      <c r="B1237" t="inlineStr">
        <is>
          <t>HV8699.U5 J64</t>
        </is>
      </c>
      <c r="C1237" t="inlineStr">
        <is>
          <t>0                      HV 8699000U  5                  J  64</t>
        </is>
      </c>
      <c r="D1237" t="inlineStr">
        <is>
          <t>Condemned to die : life under sentence of death / Robert Johnson.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Johnson, Robert, 1948-</t>
        </is>
      </c>
      <c r="L1237" t="inlineStr">
        <is>
          <t>New York : Elsevier, c1981.</t>
        </is>
      </c>
      <c r="M1237" t="inlineStr">
        <is>
          <t>1981</t>
        </is>
      </c>
      <c r="O1237" t="inlineStr">
        <is>
          <t>eng</t>
        </is>
      </c>
      <c r="P1237" t="inlineStr">
        <is>
          <t>nyu</t>
        </is>
      </c>
      <c r="R1237" t="inlineStr">
        <is>
          <t xml:space="preserve">HV </t>
        </is>
      </c>
      <c r="S1237" t="n">
        <v>32</v>
      </c>
      <c r="T1237" t="n">
        <v>32</v>
      </c>
      <c r="U1237" t="inlineStr">
        <is>
          <t>2007-03-25</t>
        </is>
      </c>
      <c r="V1237" t="inlineStr">
        <is>
          <t>2007-03-25</t>
        </is>
      </c>
      <c r="W1237" t="inlineStr">
        <is>
          <t>1993-06-24</t>
        </is>
      </c>
      <c r="X1237" t="inlineStr">
        <is>
          <t>1993-06-24</t>
        </is>
      </c>
      <c r="Y1237" t="n">
        <v>471</v>
      </c>
      <c r="Z1237" t="n">
        <v>403</v>
      </c>
      <c r="AA1237" t="n">
        <v>597</v>
      </c>
      <c r="AB1237" t="n">
        <v>3</v>
      </c>
      <c r="AC1237" t="n">
        <v>6</v>
      </c>
      <c r="AD1237" t="n">
        <v>16</v>
      </c>
      <c r="AE1237" t="n">
        <v>24</v>
      </c>
      <c r="AF1237" t="n">
        <v>7</v>
      </c>
      <c r="AG1237" t="n">
        <v>8</v>
      </c>
      <c r="AH1237" t="n">
        <v>2</v>
      </c>
      <c r="AI1237" t="n">
        <v>4</v>
      </c>
      <c r="AJ1237" t="n">
        <v>6</v>
      </c>
      <c r="AK1237" t="n">
        <v>9</v>
      </c>
      <c r="AL1237" t="n">
        <v>2</v>
      </c>
      <c r="AM1237" t="n">
        <v>5</v>
      </c>
      <c r="AN1237" t="n">
        <v>3</v>
      </c>
      <c r="AO1237" t="n">
        <v>3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HYPERLINK("http://catalog.hathitrust.org/Record/000304011","HathiTrust Record")</f>
        <v/>
      </c>
      <c r="AS1237">
        <f>HYPERLINK("https://creighton-primo.hosted.exlibrisgroup.com/primo-explore/search?tab=default_tab&amp;search_scope=EVERYTHING&amp;vid=01CRU&amp;lang=en_US&amp;offset=0&amp;query=any,contains,991005117459702656","Catalog Record")</f>
        <v/>
      </c>
      <c r="AT1237">
        <f>HYPERLINK("http://www.worldcat.org/oclc/7464369","WorldCat Record")</f>
        <v/>
      </c>
      <c r="AU1237" t="inlineStr">
        <is>
          <t>818631766:eng</t>
        </is>
      </c>
      <c r="AV1237" t="inlineStr">
        <is>
          <t>7464369</t>
        </is>
      </c>
      <c r="AW1237" t="inlineStr">
        <is>
          <t>991005117459702656</t>
        </is>
      </c>
      <c r="AX1237" t="inlineStr">
        <is>
          <t>991005117459702656</t>
        </is>
      </c>
      <c r="AY1237" t="inlineStr">
        <is>
          <t>2262382870002656</t>
        </is>
      </c>
      <c r="AZ1237" t="inlineStr">
        <is>
          <t>BOOK</t>
        </is>
      </c>
      <c r="BB1237" t="inlineStr">
        <is>
          <t>9780444990891</t>
        </is>
      </c>
      <c r="BC1237" t="inlineStr">
        <is>
          <t>32285001732022</t>
        </is>
      </c>
      <c r="BD1237" t="inlineStr">
        <is>
          <t>893507639</t>
        </is>
      </c>
    </row>
    <row r="1238">
      <c r="A1238" t="inlineStr">
        <is>
          <t>No</t>
        </is>
      </c>
      <c r="B1238" t="inlineStr">
        <is>
          <t>HV8699.U5 K87 2004</t>
        </is>
      </c>
      <c r="C1238" t="inlineStr">
        <is>
          <t>0                      HV 8699000U  5                  K  87          2004</t>
        </is>
      </c>
      <c r="D1238" t="inlineStr">
        <is>
          <t>The death penalty on trial : crisis in American justice / Bill Kurtis.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Kurtis, Bill.</t>
        </is>
      </c>
      <c r="L1238" t="inlineStr">
        <is>
          <t>New York : Public Affairs, c2004.</t>
        </is>
      </c>
      <c r="M1238" t="inlineStr">
        <is>
          <t>2004</t>
        </is>
      </c>
      <c r="N1238" t="inlineStr">
        <is>
          <t>1st ed.</t>
        </is>
      </c>
      <c r="O1238" t="inlineStr">
        <is>
          <t>eng</t>
        </is>
      </c>
      <c r="P1238" t="inlineStr">
        <is>
          <t>nyu</t>
        </is>
      </c>
      <c r="R1238" t="inlineStr">
        <is>
          <t xml:space="preserve">HV </t>
        </is>
      </c>
      <c r="S1238" t="n">
        <v>11</v>
      </c>
      <c r="T1238" t="n">
        <v>11</v>
      </c>
      <c r="U1238" t="inlineStr">
        <is>
          <t>2009-12-03</t>
        </is>
      </c>
      <c r="V1238" t="inlineStr">
        <is>
          <t>2009-12-03</t>
        </is>
      </c>
      <c r="W1238" t="inlineStr">
        <is>
          <t>2004-12-14</t>
        </is>
      </c>
      <c r="X1238" t="inlineStr">
        <is>
          <t>2004-12-14</t>
        </is>
      </c>
      <c r="Y1238" t="n">
        <v>1004</v>
      </c>
      <c r="Z1238" t="n">
        <v>950</v>
      </c>
      <c r="AA1238" t="n">
        <v>1077</v>
      </c>
      <c r="AB1238" t="n">
        <v>8</v>
      </c>
      <c r="AC1238" t="n">
        <v>8</v>
      </c>
      <c r="AD1238" t="n">
        <v>24</v>
      </c>
      <c r="AE1238" t="n">
        <v>26</v>
      </c>
      <c r="AF1238" t="n">
        <v>6</v>
      </c>
      <c r="AG1238" t="n">
        <v>7</v>
      </c>
      <c r="AH1238" t="n">
        <v>3</v>
      </c>
      <c r="AI1238" t="n">
        <v>4</v>
      </c>
      <c r="AJ1238" t="n">
        <v>7</v>
      </c>
      <c r="AK1238" t="n">
        <v>7</v>
      </c>
      <c r="AL1238" t="n">
        <v>5</v>
      </c>
      <c r="AM1238" t="n">
        <v>5</v>
      </c>
      <c r="AN1238" t="n">
        <v>8</v>
      </c>
      <c r="AO1238" t="n">
        <v>8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HYPERLINK("https://creighton-primo.hosted.exlibrisgroup.com/primo-explore/search?tab=default_tab&amp;search_scope=EVERYTHING&amp;vid=01CRU&amp;lang=en_US&amp;offset=0&amp;query=any,contains,991004380659702656","Catalog Record")</f>
        <v/>
      </c>
      <c r="AT1238">
        <f>HYPERLINK("http://www.worldcat.org/oclc/55633923","WorldCat Record")</f>
        <v/>
      </c>
      <c r="AU1238" t="inlineStr">
        <is>
          <t>869578:eng</t>
        </is>
      </c>
      <c r="AV1238" t="inlineStr">
        <is>
          <t>55633923</t>
        </is>
      </c>
      <c r="AW1238" t="inlineStr">
        <is>
          <t>991004380659702656</t>
        </is>
      </c>
      <c r="AX1238" t="inlineStr">
        <is>
          <t>991004380659702656</t>
        </is>
      </c>
      <c r="AY1238" t="inlineStr">
        <is>
          <t>2270446030002656</t>
        </is>
      </c>
      <c r="AZ1238" t="inlineStr">
        <is>
          <t>BOOK</t>
        </is>
      </c>
      <c r="BB1238" t="inlineStr">
        <is>
          <t>9781586481698</t>
        </is>
      </c>
      <c r="BC1238" t="inlineStr">
        <is>
          <t>32285005017149</t>
        </is>
      </c>
      <c r="BD1238" t="inlineStr">
        <is>
          <t>893319151</t>
        </is>
      </c>
    </row>
    <row r="1239">
      <c r="A1239" t="inlineStr">
        <is>
          <t>No</t>
        </is>
      </c>
      <c r="B1239" t="inlineStr">
        <is>
          <t>HV8699.U5 M235 1995</t>
        </is>
      </c>
      <c r="C1239" t="inlineStr">
        <is>
          <t>0                      HV 8699000U  5                  M  235         1995</t>
        </is>
      </c>
      <c r="D1239" t="inlineStr">
        <is>
          <t>The machinery of death : a shocking indictment of capital punishment in the United States / [editors, Enid Harlow, David Matas, Jane Rocamora].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L1239" t="inlineStr">
        <is>
          <t>[New York, N.Y.] : Amnesty International USA, c1995.</t>
        </is>
      </c>
      <c r="M1239" t="inlineStr">
        <is>
          <t>1995</t>
        </is>
      </c>
      <c r="O1239" t="inlineStr">
        <is>
          <t>eng</t>
        </is>
      </c>
      <c r="P1239" t="inlineStr">
        <is>
          <t>nyu</t>
        </is>
      </c>
      <c r="R1239" t="inlineStr">
        <is>
          <t xml:space="preserve">HV </t>
        </is>
      </c>
      <c r="S1239" t="n">
        <v>45</v>
      </c>
      <c r="T1239" t="n">
        <v>45</v>
      </c>
      <c r="U1239" t="inlineStr">
        <is>
          <t>2004-09-07</t>
        </is>
      </c>
      <c r="V1239" t="inlineStr">
        <is>
          <t>2004-09-07</t>
        </is>
      </c>
      <c r="W1239" t="inlineStr">
        <is>
          <t>1996-04-02</t>
        </is>
      </c>
      <c r="X1239" t="inlineStr">
        <is>
          <t>1996-04-02</t>
        </is>
      </c>
      <c r="Y1239" t="n">
        <v>236</v>
      </c>
      <c r="Z1239" t="n">
        <v>219</v>
      </c>
      <c r="AA1239" t="n">
        <v>227</v>
      </c>
      <c r="AB1239" t="n">
        <v>1</v>
      </c>
      <c r="AC1239" t="n">
        <v>1</v>
      </c>
      <c r="AD1239" t="n">
        <v>18</v>
      </c>
      <c r="AE1239" t="n">
        <v>18</v>
      </c>
      <c r="AF1239" t="n">
        <v>5</v>
      </c>
      <c r="AG1239" t="n">
        <v>5</v>
      </c>
      <c r="AH1239" t="n">
        <v>4</v>
      </c>
      <c r="AI1239" t="n">
        <v>4</v>
      </c>
      <c r="AJ1239" t="n">
        <v>10</v>
      </c>
      <c r="AK1239" t="n">
        <v>10</v>
      </c>
      <c r="AL1239" t="n">
        <v>0</v>
      </c>
      <c r="AM1239" t="n">
        <v>0</v>
      </c>
      <c r="AN1239" t="n">
        <v>3</v>
      </c>
      <c r="AO1239" t="n">
        <v>3</v>
      </c>
      <c r="AP1239" t="inlineStr">
        <is>
          <t>No</t>
        </is>
      </c>
      <c r="AQ1239" t="inlineStr">
        <is>
          <t>Yes</t>
        </is>
      </c>
      <c r="AR1239">
        <f>HYPERLINK("http://catalog.hathitrust.org/Record/003075377","HathiTrust Record")</f>
        <v/>
      </c>
      <c r="AS1239">
        <f>HYPERLINK("https://creighton-primo.hosted.exlibrisgroup.com/primo-explore/search?tab=default_tab&amp;search_scope=EVERYTHING&amp;vid=01CRU&amp;lang=en_US&amp;offset=0&amp;query=any,contains,991002471609702656","Catalog Record")</f>
        <v/>
      </c>
      <c r="AT1239">
        <f>HYPERLINK("http://www.worldcat.org/oclc/32196081","WorldCat Record")</f>
        <v/>
      </c>
      <c r="AU1239" t="inlineStr">
        <is>
          <t>889916715:eng</t>
        </is>
      </c>
      <c r="AV1239" t="inlineStr">
        <is>
          <t>32196081</t>
        </is>
      </c>
      <c r="AW1239" t="inlineStr">
        <is>
          <t>991002471609702656</t>
        </is>
      </c>
      <c r="AX1239" t="inlineStr">
        <is>
          <t>991002471609702656</t>
        </is>
      </c>
      <c r="AY1239" t="inlineStr">
        <is>
          <t>2265611330002656</t>
        </is>
      </c>
      <c r="AZ1239" t="inlineStr">
        <is>
          <t>BOOK</t>
        </is>
      </c>
      <c r="BB1239" t="inlineStr">
        <is>
          <t>9780939994946</t>
        </is>
      </c>
      <c r="BC1239" t="inlineStr">
        <is>
          <t>32285002149481</t>
        </is>
      </c>
      <c r="BD1239" t="inlineStr">
        <is>
          <t>893239101</t>
        </is>
      </c>
    </row>
    <row r="1240">
      <c r="A1240" t="inlineStr">
        <is>
          <t>No</t>
        </is>
      </c>
      <c r="B1240" t="inlineStr">
        <is>
          <t>HV8699.U5 M35 1994</t>
        </is>
      </c>
      <c r="C1240" t="inlineStr">
        <is>
          <t>0                      HV 8699000U  5                  M  35          1994</t>
        </is>
      </c>
      <c r="D1240" t="inlineStr">
        <is>
          <t>The rope, the chair, and the needle : capital punishment in Texas, 1923-1990 / James W. Marquart, Sheldon Ekland-Olson, Jonathan R. Sorensen.</t>
        </is>
      </c>
      <c r="F1240" t="inlineStr">
        <is>
          <t>No</t>
        </is>
      </c>
      <c r="G1240" t="inlineStr">
        <is>
          <t>1</t>
        </is>
      </c>
      <c r="H1240" t="inlineStr">
        <is>
          <t>Yes</t>
        </is>
      </c>
      <c r="I1240" t="inlineStr">
        <is>
          <t>No</t>
        </is>
      </c>
      <c r="J1240" t="inlineStr">
        <is>
          <t>0</t>
        </is>
      </c>
      <c r="K1240" t="inlineStr">
        <is>
          <t>Marquart, James W. (James Walter), 1954-</t>
        </is>
      </c>
      <c r="L1240" t="inlineStr">
        <is>
          <t>Austin : University of Texas Press, 1994.</t>
        </is>
      </c>
      <c r="M1240" t="inlineStr">
        <is>
          <t>1994</t>
        </is>
      </c>
      <c r="N1240" t="inlineStr">
        <is>
          <t>1st ed.</t>
        </is>
      </c>
      <c r="O1240" t="inlineStr">
        <is>
          <t>eng</t>
        </is>
      </c>
      <c r="P1240" t="inlineStr">
        <is>
          <t>txu</t>
        </is>
      </c>
      <c r="R1240" t="inlineStr">
        <is>
          <t xml:space="preserve">HV </t>
        </is>
      </c>
      <c r="S1240" t="n">
        <v>14</v>
      </c>
      <c r="T1240" t="n">
        <v>16</v>
      </c>
      <c r="U1240" t="inlineStr">
        <is>
          <t>2007-10-28</t>
        </is>
      </c>
      <c r="V1240" t="inlineStr">
        <is>
          <t>2007-10-28</t>
        </is>
      </c>
      <c r="W1240" t="inlineStr">
        <is>
          <t>1998-12-16</t>
        </is>
      </c>
      <c r="X1240" t="inlineStr">
        <is>
          <t>1998-12-16</t>
        </is>
      </c>
      <c r="Y1240" t="n">
        <v>812</v>
      </c>
      <c r="Z1240" t="n">
        <v>775</v>
      </c>
      <c r="AA1240" t="n">
        <v>1138</v>
      </c>
      <c r="AB1240" t="n">
        <v>5</v>
      </c>
      <c r="AC1240" t="n">
        <v>7</v>
      </c>
      <c r="AD1240" t="n">
        <v>46</v>
      </c>
      <c r="AE1240" t="n">
        <v>51</v>
      </c>
      <c r="AF1240" t="n">
        <v>14</v>
      </c>
      <c r="AG1240" t="n">
        <v>18</v>
      </c>
      <c r="AH1240" t="n">
        <v>9</v>
      </c>
      <c r="AI1240" t="n">
        <v>10</v>
      </c>
      <c r="AJ1240" t="n">
        <v>19</v>
      </c>
      <c r="AK1240" t="n">
        <v>21</v>
      </c>
      <c r="AL1240" t="n">
        <v>3</v>
      </c>
      <c r="AM1240" t="n">
        <v>4</v>
      </c>
      <c r="AN1240" t="n">
        <v>10</v>
      </c>
      <c r="AO1240" t="n">
        <v>10</v>
      </c>
      <c r="AP1240" t="inlineStr">
        <is>
          <t>No</t>
        </is>
      </c>
      <c r="AQ1240" t="inlineStr">
        <is>
          <t>No</t>
        </is>
      </c>
      <c r="AS1240">
        <f>HYPERLINK("https://creighton-primo.hosted.exlibrisgroup.com/primo-explore/search?tab=default_tab&amp;search_scope=EVERYTHING&amp;vid=01CRU&amp;lang=en_US&amp;offset=0&amp;query=any,contains,991001658099702656","Catalog Record")</f>
        <v/>
      </c>
      <c r="AT1240">
        <f>HYPERLINK("http://www.worldcat.org/oclc/27976828","WorldCat Record")</f>
        <v/>
      </c>
      <c r="AU1240" t="inlineStr">
        <is>
          <t>799473584:eng</t>
        </is>
      </c>
      <c r="AV1240" t="inlineStr">
        <is>
          <t>27976828</t>
        </is>
      </c>
      <c r="AW1240" t="inlineStr">
        <is>
          <t>991001658099702656</t>
        </is>
      </c>
      <c r="AX1240" t="inlineStr">
        <is>
          <t>991001658099702656</t>
        </is>
      </c>
      <c r="AY1240" t="inlineStr">
        <is>
          <t>2261090770002656</t>
        </is>
      </c>
      <c r="AZ1240" t="inlineStr">
        <is>
          <t>BOOK</t>
        </is>
      </c>
      <c r="BB1240" t="inlineStr">
        <is>
          <t>9780292751583</t>
        </is>
      </c>
      <c r="BC1240" t="inlineStr">
        <is>
          <t>32285003507109</t>
        </is>
      </c>
      <c r="BD1240" t="inlineStr">
        <is>
          <t>893803784</t>
        </is>
      </c>
    </row>
    <row r="1241">
      <c r="A1241" t="inlineStr">
        <is>
          <t>No</t>
        </is>
      </c>
      <c r="B1241" t="inlineStr">
        <is>
          <t>HV8699.U5 N45 2001</t>
        </is>
      </c>
      <c r="C1241" t="inlineStr">
        <is>
          <t>0                      HV 8699000U  5                  N  45          2001</t>
        </is>
      </c>
      <c r="D1241" t="inlineStr">
        <is>
          <t>Death watch : a death penalty anthology / Lane Nelson, Burk Foster.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Nelson, Lane.</t>
        </is>
      </c>
      <c r="L1241" t="inlineStr">
        <is>
          <t>Upper Saddle River, N.J. : Prentice Hall, c2001.</t>
        </is>
      </c>
      <c r="M1241" t="inlineStr">
        <is>
          <t>2001</t>
        </is>
      </c>
      <c r="O1241" t="inlineStr">
        <is>
          <t>eng</t>
        </is>
      </c>
      <c r="P1241" t="inlineStr">
        <is>
          <t>nju</t>
        </is>
      </c>
      <c r="R1241" t="inlineStr">
        <is>
          <t xml:space="preserve">HV </t>
        </is>
      </c>
      <c r="S1241" t="n">
        <v>14</v>
      </c>
      <c r="T1241" t="n">
        <v>14</v>
      </c>
      <c r="U1241" t="inlineStr">
        <is>
          <t>2007-04-15</t>
        </is>
      </c>
      <c r="V1241" t="inlineStr">
        <is>
          <t>2007-04-15</t>
        </is>
      </c>
      <c r="W1241" t="inlineStr">
        <is>
          <t>2001-01-24</t>
        </is>
      </c>
      <c r="X1241" t="inlineStr">
        <is>
          <t>2001-01-24</t>
        </is>
      </c>
      <c r="Y1241" t="n">
        <v>321</v>
      </c>
      <c r="Z1241" t="n">
        <v>301</v>
      </c>
      <c r="AA1241" t="n">
        <v>319</v>
      </c>
      <c r="AB1241" t="n">
        <v>2</v>
      </c>
      <c r="AC1241" t="n">
        <v>2</v>
      </c>
      <c r="AD1241" t="n">
        <v>11</v>
      </c>
      <c r="AE1241" t="n">
        <v>11</v>
      </c>
      <c r="AF1241" t="n">
        <v>2</v>
      </c>
      <c r="AG1241" t="n">
        <v>2</v>
      </c>
      <c r="AH1241" t="n">
        <v>4</v>
      </c>
      <c r="AI1241" t="n">
        <v>4</v>
      </c>
      <c r="AJ1241" t="n">
        <v>6</v>
      </c>
      <c r="AK1241" t="n">
        <v>6</v>
      </c>
      <c r="AL1241" t="n">
        <v>1</v>
      </c>
      <c r="AM1241" t="n">
        <v>1</v>
      </c>
      <c r="AN1241" t="n">
        <v>1</v>
      </c>
      <c r="AO1241" t="n">
        <v>1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HYPERLINK("http://catalog.hathitrust.org/Record/004127108","HathiTrust Record")</f>
        <v/>
      </c>
      <c r="AS1241">
        <f>HYPERLINK("https://creighton-primo.hosted.exlibrisgroup.com/primo-explore/search?tab=default_tab&amp;search_scope=EVERYTHING&amp;vid=01CRU&amp;lang=en_US&amp;offset=0&amp;query=any,contains,991003342209702656","Catalog Record")</f>
        <v/>
      </c>
      <c r="AT1241">
        <f>HYPERLINK("http://www.worldcat.org/oclc/44075905","WorldCat Record")</f>
        <v/>
      </c>
      <c r="AU1241" t="inlineStr">
        <is>
          <t>837005024:eng</t>
        </is>
      </c>
      <c r="AV1241" t="inlineStr">
        <is>
          <t>44075905</t>
        </is>
      </c>
      <c r="AW1241" t="inlineStr">
        <is>
          <t>991003342209702656</t>
        </is>
      </c>
      <c r="AX1241" t="inlineStr">
        <is>
          <t>991003342209702656</t>
        </is>
      </c>
      <c r="AY1241" t="inlineStr">
        <is>
          <t>2271454400002656</t>
        </is>
      </c>
      <c r="AZ1241" t="inlineStr">
        <is>
          <t>BOOK</t>
        </is>
      </c>
      <c r="BB1241" t="inlineStr">
        <is>
          <t>9780130852014</t>
        </is>
      </c>
      <c r="BC1241" t="inlineStr">
        <is>
          <t>32285004291679</t>
        </is>
      </c>
      <c r="BD1241" t="inlineStr">
        <is>
          <t>893434915</t>
        </is>
      </c>
    </row>
    <row r="1242">
      <c r="A1242" t="inlineStr">
        <is>
          <t>No</t>
        </is>
      </c>
      <c r="B1242" t="inlineStr">
        <is>
          <t>HV8699.U5 S72 2003</t>
        </is>
      </c>
      <c r="C1242" t="inlineStr">
        <is>
          <t>0                      HV 8699000U  5                  S  72          2003</t>
        </is>
      </c>
      <c r="D1242" t="inlineStr">
        <is>
          <t>The hangman's knot : lynching, legal execution, and America's struggle with the death penalty / Eliza Steelwater.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Steelwater, Eliza.</t>
        </is>
      </c>
      <c r="L1242" t="inlineStr">
        <is>
          <t>Boulder, Colo. : Westview Press, c2003.</t>
        </is>
      </c>
      <c r="M1242" t="inlineStr">
        <is>
          <t>2003</t>
        </is>
      </c>
      <c r="O1242" t="inlineStr">
        <is>
          <t>eng</t>
        </is>
      </c>
      <c r="P1242" t="inlineStr">
        <is>
          <t>cou</t>
        </is>
      </c>
      <c r="R1242" t="inlineStr">
        <is>
          <t xml:space="preserve">HV </t>
        </is>
      </c>
      <c r="S1242" t="n">
        <v>6</v>
      </c>
      <c r="T1242" t="n">
        <v>6</v>
      </c>
      <c r="U1242" t="inlineStr">
        <is>
          <t>2007-07-12</t>
        </is>
      </c>
      <c r="V1242" t="inlineStr">
        <is>
          <t>2007-07-12</t>
        </is>
      </c>
      <c r="W1242" t="inlineStr">
        <is>
          <t>2003-09-22</t>
        </is>
      </c>
      <c r="X1242" t="inlineStr">
        <is>
          <t>2003-09-22</t>
        </is>
      </c>
      <c r="Y1242" t="n">
        <v>1067</v>
      </c>
      <c r="Z1242" t="n">
        <v>1012</v>
      </c>
      <c r="AA1242" t="n">
        <v>1027</v>
      </c>
      <c r="AB1242" t="n">
        <v>6</v>
      </c>
      <c r="AC1242" t="n">
        <v>6</v>
      </c>
      <c r="AD1242" t="n">
        <v>36</v>
      </c>
      <c r="AE1242" t="n">
        <v>36</v>
      </c>
      <c r="AF1242" t="n">
        <v>12</v>
      </c>
      <c r="AG1242" t="n">
        <v>12</v>
      </c>
      <c r="AH1242" t="n">
        <v>7</v>
      </c>
      <c r="AI1242" t="n">
        <v>7</v>
      </c>
      <c r="AJ1242" t="n">
        <v>11</v>
      </c>
      <c r="AK1242" t="n">
        <v>11</v>
      </c>
      <c r="AL1242" t="n">
        <v>4</v>
      </c>
      <c r="AM1242" t="n">
        <v>4</v>
      </c>
      <c r="AN1242" t="n">
        <v>10</v>
      </c>
      <c r="AO1242" t="n">
        <v>10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HYPERLINK("https://creighton-primo.hosted.exlibrisgroup.com/primo-explore/search?tab=default_tab&amp;search_scope=EVERYTHING&amp;vid=01CRU&amp;lang=en_US&amp;offset=0&amp;query=any,contains,991004121219702656","Catalog Record")</f>
        <v/>
      </c>
      <c r="AT1242">
        <f>HYPERLINK("http://www.worldcat.org/oclc/52055145","WorldCat Record")</f>
        <v/>
      </c>
      <c r="AU1242" t="inlineStr">
        <is>
          <t>706985:eng</t>
        </is>
      </c>
      <c r="AV1242" t="inlineStr">
        <is>
          <t>52055145</t>
        </is>
      </c>
      <c r="AW1242" t="inlineStr">
        <is>
          <t>991004121219702656</t>
        </is>
      </c>
      <c r="AX1242" t="inlineStr">
        <is>
          <t>991004121219702656</t>
        </is>
      </c>
      <c r="AY1242" t="inlineStr">
        <is>
          <t>2256085160002656</t>
        </is>
      </c>
      <c r="AZ1242" t="inlineStr">
        <is>
          <t>BOOK</t>
        </is>
      </c>
      <c r="BB1242" t="inlineStr">
        <is>
          <t>9780813340425</t>
        </is>
      </c>
      <c r="BC1242" t="inlineStr">
        <is>
          <t>32285004784012</t>
        </is>
      </c>
      <c r="BD1242" t="inlineStr">
        <is>
          <t>893775641</t>
        </is>
      </c>
    </row>
    <row r="1243">
      <c r="A1243" t="inlineStr">
        <is>
          <t>No</t>
        </is>
      </c>
      <c r="B1243" t="inlineStr">
        <is>
          <t>HV8699.U5 U55 1987</t>
        </is>
      </c>
      <c r="C1243" t="inlineStr">
        <is>
          <t>0                      HV 8699000U  5                  U  55          1987</t>
        </is>
      </c>
      <c r="D1243" t="inlineStr">
        <is>
          <t>United States of America : the death penalty.</t>
        </is>
      </c>
      <c r="F1243" t="inlineStr">
        <is>
          <t>No</t>
        </is>
      </c>
      <c r="G1243" t="inlineStr">
        <is>
          <t>1</t>
        </is>
      </c>
      <c r="H1243" t="inlineStr">
        <is>
          <t>Yes</t>
        </is>
      </c>
      <c r="I1243" t="inlineStr">
        <is>
          <t>No</t>
        </is>
      </c>
      <c r="J1243" t="inlineStr">
        <is>
          <t>0</t>
        </is>
      </c>
      <c r="L1243" t="inlineStr">
        <is>
          <t>London : Amnesty International Publications, 1987.</t>
        </is>
      </c>
      <c r="M1243" t="inlineStr">
        <is>
          <t>1987</t>
        </is>
      </c>
      <c r="O1243" t="inlineStr">
        <is>
          <t>eng</t>
        </is>
      </c>
      <c r="P1243" t="inlineStr">
        <is>
          <t>enk</t>
        </is>
      </c>
      <c r="R1243" t="inlineStr">
        <is>
          <t xml:space="preserve">HV </t>
        </is>
      </c>
      <c r="S1243" t="n">
        <v>65</v>
      </c>
      <c r="T1243" t="n">
        <v>65</v>
      </c>
      <c r="U1243" t="inlineStr">
        <is>
          <t>2007-02-25</t>
        </is>
      </c>
      <c r="V1243" t="inlineStr">
        <is>
          <t>2007-02-25</t>
        </is>
      </c>
      <c r="W1243" t="inlineStr">
        <is>
          <t>1995-03-28</t>
        </is>
      </c>
      <c r="X1243" t="inlineStr">
        <is>
          <t>1995-03-28</t>
        </is>
      </c>
      <c r="Y1243" t="n">
        <v>454</v>
      </c>
      <c r="Z1243" t="n">
        <v>379</v>
      </c>
      <c r="AA1243" t="n">
        <v>386</v>
      </c>
      <c r="AB1243" t="n">
        <v>4</v>
      </c>
      <c r="AC1243" t="n">
        <v>4</v>
      </c>
      <c r="AD1243" t="n">
        <v>21</v>
      </c>
      <c r="AE1243" t="n">
        <v>21</v>
      </c>
      <c r="AF1243" t="n">
        <v>4</v>
      </c>
      <c r="AG1243" t="n">
        <v>4</v>
      </c>
      <c r="AH1243" t="n">
        <v>2</v>
      </c>
      <c r="AI1243" t="n">
        <v>2</v>
      </c>
      <c r="AJ1243" t="n">
        <v>7</v>
      </c>
      <c r="AK1243" t="n">
        <v>7</v>
      </c>
      <c r="AL1243" t="n">
        <v>2</v>
      </c>
      <c r="AM1243" t="n">
        <v>2</v>
      </c>
      <c r="AN1243" t="n">
        <v>9</v>
      </c>
      <c r="AO1243" t="n">
        <v>9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HYPERLINK("https://creighton-primo.hosted.exlibrisgroup.com/primo-explore/search?tab=default_tab&amp;search_scope=EVERYTHING&amp;vid=01CRU&amp;lang=en_US&amp;offset=0&amp;query=any,contains,991001013589702656","Catalog Record")</f>
        <v/>
      </c>
      <c r="AT1243">
        <f>HYPERLINK("http://www.worldcat.org/oclc/17209566","WorldCat Record")</f>
        <v/>
      </c>
      <c r="AU1243" t="inlineStr">
        <is>
          <t>3855967031:eng</t>
        </is>
      </c>
      <c r="AV1243" t="inlineStr">
        <is>
          <t>17209566</t>
        </is>
      </c>
      <c r="AW1243" t="inlineStr">
        <is>
          <t>991001013589702656</t>
        </is>
      </c>
      <c r="AX1243" t="inlineStr">
        <is>
          <t>991001013589702656</t>
        </is>
      </c>
      <c r="AY1243" t="inlineStr">
        <is>
          <t>2256636950002656</t>
        </is>
      </c>
      <c r="AZ1243" t="inlineStr">
        <is>
          <t>BOOK</t>
        </is>
      </c>
      <c r="BB1243" t="inlineStr">
        <is>
          <t>9780862101145</t>
        </is>
      </c>
      <c r="BC1243" t="inlineStr">
        <is>
          <t>32285002020633</t>
        </is>
      </c>
      <c r="BD1243" t="inlineStr">
        <is>
          <t>893438801</t>
        </is>
      </c>
    </row>
    <row r="1244">
      <c r="A1244" t="inlineStr">
        <is>
          <t>No</t>
        </is>
      </c>
      <c r="B1244" t="inlineStr">
        <is>
          <t>HV8699.U5 V36 1983</t>
        </is>
      </c>
      <c r="C1244" t="inlineStr">
        <is>
          <t>0                      HV 8699000U  5                  V  36          1983</t>
        </is>
      </c>
      <c r="D1244" t="inlineStr">
        <is>
          <t>The death penalty : a debate / pro, Ernest van den Haag, con, John P. Conrad.</t>
        </is>
      </c>
      <c r="F1244" t="inlineStr">
        <is>
          <t>No</t>
        </is>
      </c>
      <c r="G1244" t="inlineStr">
        <is>
          <t>1</t>
        </is>
      </c>
      <c r="H1244" t="inlineStr">
        <is>
          <t>Yes</t>
        </is>
      </c>
      <c r="I1244" t="inlineStr">
        <is>
          <t>No</t>
        </is>
      </c>
      <c r="J1244" t="inlineStr">
        <is>
          <t>0</t>
        </is>
      </c>
      <c r="K1244" t="inlineStr">
        <is>
          <t>Van den Haag, Ernest.</t>
        </is>
      </c>
      <c r="L1244" t="inlineStr">
        <is>
          <t>New York : Plenum Press, c1983.</t>
        </is>
      </c>
      <c r="M1244" t="inlineStr">
        <is>
          <t>1983</t>
        </is>
      </c>
      <c r="O1244" t="inlineStr">
        <is>
          <t>eng</t>
        </is>
      </c>
      <c r="P1244" t="inlineStr">
        <is>
          <t>nyu</t>
        </is>
      </c>
      <c r="R1244" t="inlineStr">
        <is>
          <t xml:space="preserve">HV </t>
        </is>
      </c>
      <c r="S1244" t="n">
        <v>94</v>
      </c>
      <c r="T1244" t="n">
        <v>97</v>
      </c>
      <c r="U1244" t="inlineStr">
        <is>
          <t>2008-03-25</t>
        </is>
      </c>
      <c r="V1244" t="inlineStr">
        <is>
          <t>2009-06-29</t>
        </is>
      </c>
      <c r="W1244" t="inlineStr">
        <is>
          <t>1990-03-02</t>
        </is>
      </c>
      <c r="X1244" t="inlineStr">
        <is>
          <t>1991-08-16</t>
        </is>
      </c>
      <c r="Y1244" t="n">
        <v>1549</v>
      </c>
      <c r="Z1244" t="n">
        <v>1375</v>
      </c>
      <c r="AA1244" t="n">
        <v>1392</v>
      </c>
      <c r="AB1244" t="n">
        <v>11</v>
      </c>
      <c r="AC1244" t="n">
        <v>11</v>
      </c>
      <c r="AD1244" t="n">
        <v>55</v>
      </c>
      <c r="AE1244" t="n">
        <v>56</v>
      </c>
      <c r="AF1244" t="n">
        <v>20</v>
      </c>
      <c r="AG1244" t="n">
        <v>21</v>
      </c>
      <c r="AH1244" t="n">
        <v>7</v>
      </c>
      <c r="AI1244" t="n">
        <v>8</v>
      </c>
      <c r="AJ1244" t="n">
        <v>17</v>
      </c>
      <c r="AK1244" t="n">
        <v>17</v>
      </c>
      <c r="AL1244" t="n">
        <v>5</v>
      </c>
      <c r="AM1244" t="n">
        <v>5</v>
      </c>
      <c r="AN1244" t="n">
        <v>16</v>
      </c>
      <c r="AO1244" t="n">
        <v>16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HYPERLINK("https://creighton-primo.hosted.exlibrisgroup.com/primo-explore/search?tab=default_tab&amp;search_scope=EVERYTHING&amp;vid=01CRU&amp;lang=en_US&amp;offset=0&amp;query=any,contains,991001625829702656","Catalog Record")</f>
        <v/>
      </c>
      <c r="AT1244">
        <f>HYPERLINK("http://www.worldcat.org/oclc/9647204","WorldCat Record")</f>
        <v/>
      </c>
      <c r="AU1244" t="inlineStr">
        <is>
          <t>20581415:eng</t>
        </is>
      </c>
      <c r="AV1244" t="inlineStr">
        <is>
          <t>9647204</t>
        </is>
      </c>
      <c r="AW1244" t="inlineStr">
        <is>
          <t>991001625829702656</t>
        </is>
      </c>
      <c r="AX1244" t="inlineStr">
        <is>
          <t>991001625829702656</t>
        </is>
      </c>
      <c r="AY1244" t="inlineStr">
        <is>
          <t>2270698690002656</t>
        </is>
      </c>
      <c r="AZ1244" t="inlineStr">
        <is>
          <t>BOOK</t>
        </is>
      </c>
      <c r="BB1244" t="inlineStr">
        <is>
          <t>9780306414169</t>
        </is>
      </c>
      <c r="BC1244" t="inlineStr">
        <is>
          <t>32285000075605</t>
        </is>
      </c>
      <c r="BD1244" t="inlineStr">
        <is>
          <t>893497216</t>
        </is>
      </c>
    </row>
    <row r="1245">
      <c r="A1245" t="inlineStr">
        <is>
          <t>No</t>
        </is>
      </c>
      <c r="B1245" t="inlineStr">
        <is>
          <t>HV8699.U5 W45 1997</t>
        </is>
      </c>
      <c r="C1245" t="inlineStr">
        <is>
          <t>0                      HV 8699000U  5                  W  45          1997</t>
        </is>
      </c>
      <c r="D1245" t="inlineStr">
        <is>
          <t>Welcome to hell : letters &amp; writings from death row / compiled and edited by Jan Arriens ; foreword by Sister Helen Prejean ; preface by Clive Stafford Smith.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L1245" t="inlineStr">
        <is>
          <t>Boston : Northeastern University Press, 1997.</t>
        </is>
      </c>
      <c r="M1245" t="inlineStr">
        <is>
          <t>1997</t>
        </is>
      </c>
      <c r="O1245" t="inlineStr">
        <is>
          <t>eng</t>
        </is>
      </c>
      <c r="P1245" t="inlineStr">
        <is>
          <t>mau</t>
        </is>
      </c>
      <c r="R1245" t="inlineStr">
        <is>
          <t xml:space="preserve">HV </t>
        </is>
      </c>
      <c r="S1245" t="n">
        <v>5</v>
      </c>
      <c r="T1245" t="n">
        <v>5</v>
      </c>
      <c r="U1245" t="inlineStr">
        <is>
          <t>2002-04-18</t>
        </is>
      </c>
      <c r="V1245" t="inlineStr">
        <is>
          <t>2002-04-18</t>
        </is>
      </c>
      <c r="W1245" t="inlineStr">
        <is>
          <t>2000-02-16</t>
        </is>
      </c>
      <c r="X1245" t="inlineStr">
        <is>
          <t>2000-02-16</t>
        </is>
      </c>
      <c r="Y1245" t="n">
        <v>362</v>
      </c>
      <c r="Z1245" t="n">
        <v>340</v>
      </c>
      <c r="AA1245" t="n">
        <v>467</v>
      </c>
      <c r="AB1245" t="n">
        <v>2</v>
      </c>
      <c r="AC1245" t="n">
        <v>3</v>
      </c>
      <c r="AD1245" t="n">
        <v>20</v>
      </c>
      <c r="AE1245" t="n">
        <v>28</v>
      </c>
      <c r="AF1245" t="n">
        <v>5</v>
      </c>
      <c r="AG1245" t="n">
        <v>9</v>
      </c>
      <c r="AH1245" t="n">
        <v>5</v>
      </c>
      <c r="AI1245" t="n">
        <v>5</v>
      </c>
      <c r="AJ1245" t="n">
        <v>9</v>
      </c>
      <c r="AK1245" t="n">
        <v>14</v>
      </c>
      <c r="AL1245" t="n">
        <v>1</v>
      </c>
      <c r="AM1245" t="n">
        <v>2</v>
      </c>
      <c r="AN1245" t="n">
        <v>4</v>
      </c>
      <c r="AO1245" t="n">
        <v>4</v>
      </c>
      <c r="AP1245" t="inlineStr">
        <is>
          <t>No</t>
        </is>
      </c>
      <c r="AQ1245" t="inlineStr">
        <is>
          <t>Yes</t>
        </is>
      </c>
      <c r="AR1245">
        <f>HYPERLINK("http://catalog.hathitrust.org/Record/003167977","HathiTrust Record")</f>
        <v/>
      </c>
      <c r="AS1245">
        <f>HYPERLINK("https://creighton-primo.hosted.exlibrisgroup.com/primo-explore/search?tab=default_tab&amp;search_scope=EVERYTHING&amp;vid=01CRU&amp;lang=en_US&amp;offset=0&amp;query=any,contains,991002685189702656","Catalog Record")</f>
        <v/>
      </c>
      <c r="AT1245">
        <f>HYPERLINK("http://www.worldcat.org/oclc/35086064","WorldCat Record")</f>
        <v/>
      </c>
      <c r="AU1245" t="inlineStr">
        <is>
          <t>796337119:eng</t>
        </is>
      </c>
      <c r="AV1245" t="inlineStr">
        <is>
          <t>35086064</t>
        </is>
      </c>
      <c r="AW1245" t="inlineStr">
        <is>
          <t>991002685189702656</t>
        </is>
      </c>
      <c r="AX1245" t="inlineStr">
        <is>
          <t>991002685189702656</t>
        </is>
      </c>
      <c r="AY1245" t="inlineStr">
        <is>
          <t>2256942640002656</t>
        </is>
      </c>
      <c r="AZ1245" t="inlineStr">
        <is>
          <t>BOOK</t>
        </is>
      </c>
      <c r="BB1245" t="inlineStr">
        <is>
          <t>9781555532895</t>
        </is>
      </c>
      <c r="BC1245" t="inlineStr">
        <is>
          <t>32285003662367</t>
        </is>
      </c>
      <c r="BD1245" t="inlineStr">
        <is>
          <t>893716787</t>
        </is>
      </c>
    </row>
    <row r="1246">
      <c r="A1246" t="inlineStr">
        <is>
          <t>No</t>
        </is>
      </c>
      <c r="B1246" t="inlineStr">
        <is>
          <t>HV8699.U5 Z56 1986</t>
        </is>
      </c>
      <c r="C1246" t="inlineStr">
        <is>
          <t>0                      HV 8699000U  5                  Z  56          1986</t>
        </is>
      </c>
      <c r="D1246" t="inlineStr">
        <is>
          <t>Capital punishment and the American agenda / Franklin E. Zimring, Gordon Hawkins.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Zimring, Franklin E.</t>
        </is>
      </c>
      <c r="L1246" t="inlineStr">
        <is>
          <t>Cambridge, [Cambridgeshire] ; New York : Cambridge University Press, c1986, 1987 printing.</t>
        </is>
      </c>
      <c r="M1246" t="inlineStr">
        <is>
          <t>1986</t>
        </is>
      </c>
      <c r="O1246" t="inlineStr">
        <is>
          <t>eng</t>
        </is>
      </c>
      <c r="P1246" t="inlineStr">
        <is>
          <t>enk</t>
        </is>
      </c>
      <c r="R1246" t="inlineStr">
        <is>
          <t xml:space="preserve">HV </t>
        </is>
      </c>
      <c r="S1246" t="n">
        <v>47</v>
      </c>
      <c r="T1246" t="n">
        <v>47</v>
      </c>
      <c r="U1246" t="inlineStr">
        <is>
          <t>2000-04-08</t>
        </is>
      </c>
      <c r="V1246" t="inlineStr">
        <is>
          <t>2000-04-08</t>
        </is>
      </c>
      <c r="W1246" t="inlineStr">
        <is>
          <t>1990-04-20</t>
        </is>
      </c>
      <c r="X1246" t="inlineStr">
        <is>
          <t>1990-04-20</t>
        </is>
      </c>
      <c r="Y1246" t="n">
        <v>1202</v>
      </c>
      <c r="Z1246" t="n">
        <v>1074</v>
      </c>
      <c r="AA1246" t="n">
        <v>1130</v>
      </c>
      <c r="AB1246" t="n">
        <v>7</v>
      </c>
      <c r="AC1246" t="n">
        <v>7</v>
      </c>
      <c r="AD1246" t="n">
        <v>53</v>
      </c>
      <c r="AE1246" t="n">
        <v>55</v>
      </c>
      <c r="AF1246" t="n">
        <v>15</v>
      </c>
      <c r="AG1246" t="n">
        <v>15</v>
      </c>
      <c r="AH1246" t="n">
        <v>7</v>
      </c>
      <c r="AI1246" t="n">
        <v>7</v>
      </c>
      <c r="AJ1246" t="n">
        <v>16</v>
      </c>
      <c r="AK1246" t="n">
        <v>17</v>
      </c>
      <c r="AL1246" t="n">
        <v>5</v>
      </c>
      <c r="AM1246" t="n">
        <v>5</v>
      </c>
      <c r="AN1246" t="n">
        <v>20</v>
      </c>
      <c r="AO1246" t="n">
        <v>21</v>
      </c>
      <c r="AP1246" t="inlineStr">
        <is>
          <t>No</t>
        </is>
      </c>
      <c r="AQ1246" t="inlineStr">
        <is>
          <t>No</t>
        </is>
      </c>
      <c r="AS1246">
        <f>HYPERLINK("https://creighton-primo.hosted.exlibrisgroup.com/primo-explore/search?tab=default_tab&amp;search_scope=EVERYTHING&amp;vid=01CRU&amp;lang=en_US&amp;offset=0&amp;query=any,contains,991000917459702656","Catalog Record")</f>
        <v/>
      </c>
      <c r="AT1246">
        <f>HYPERLINK("http://www.worldcat.org/oclc/14187617","WorldCat Record")</f>
        <v/>
      </c>
      <c r="AU1246" t="inlineStr">
        <is>
          <t>7761438:eng</t>
        </is>
      </c>
      <c r="AV1246" t="inlineStr">
        <is>
          <t>14187617</t>
        </is>
      </c>
      <c r="AW1246" t="inlineStr">
        <is>
          <t>991000917459702656</t>
        </is>
      </c>
      <c r="AX1246" t="inlineStr">
        <is>
          <t>991000917459702656</t>
        </is>
      </c>
      <c r="AY1246" t="inlineStr">
        <is>
          <t>2260377640002656</t>
        </is>
      </c>
      <c r="AZ1246" t="inlineStr">
        <is>
          <t>BOOK</t>
        </is>
      </c>
      <c r="BB1246" t="inlineStr">
        <is>
          <t>9780521330336</t>
        </is>
      </c>
      <c r="BC1246" t="inlineStr">
        <is>
          <t>32285000123835</t>
        </is>
      </c>
      <c r="BD1246" t="inlineStr">
        <is>
          <t>893333892</t>
        </is>
      </c>
    </row>
    <row r="1247">
      <c r="A1247" t="inlineStr">
        <is>
          <t>No</t>
        </is>
      </c>
      <c r="B1247" t="inlineStr">
        <is>
          <t>HV8701.B56 J85 2005</t>
        </is>
      </c>
      <c r="C1247" t="inlineStr">
        <is>
          <t>0                      HV 8701000B  56                 J  85          2005</t>
        </is>
      </c>
      <c r="D1247" t="inlineStr">
        <is>
          <t>Bloodsworth / Tim Junkin.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Junkin, Tim, 1951-</t>
        </is>
      </c>
      <c r="L1247" t="inlineStr">
        <is>
          <t>Chapel Hill, N.C. : Algonquin Books of Chapel Hill, 2005.</t>
        </is>
      </c>
      <c r="M1247" t="inlineStr">
        <is>
          <t>2005</t>
        </is>
      </c>
      <c r="N1247" t="inlineStr">
        <is>
          <t>1st pbk. ed.</t>
        </is>
      </c>
      <c r="O1247" t="inlineStr">
        <is>
          <t>eng</t>
        </is>
      </c>
      <c r="P1247" t="inlineStr">
        <is>
          <t>ncu</t>
        </is>
      </c>
      <c r="R1247" t="inlineStr">
        <is>
          <t xml:space="preserve">HV </t>
        </is>
      </c>
      <c r="S1247" t="n">
        <v>1</v>
      </c>
      <c r="T1247" t="n">
        <v>1</v>
      </c>
      <c r="U1247" t="inlineStr">
        <is>
          <t>2005-09-20</t>
        </is>
      </c>
      <c r="V1247" t="inlineStr">
        <is>
          <t>2005-09-20</t>
        </is>
      </c>
      <c r="W1247" t="inlineStr">
        <is>
          <t>2005-09-20</t>
        </is>
      </c>
      <c r="X1247" t="inlineStr">
        <is>
          <t>2005-09-20</t>
        </is>
      </c>
      <c r="Y1247" t="n">
        <v>99</v>
      </c>
      <c r="Z1247" t="n">
        <v>95</v>
      </c>
      <c r="AA1247" t="n">
        <v>199</v>
      </c>
      <c r="AB1247" t="n">
        <v>1</v>
      </c>
      <c r="AC1247" t="n">
        <v>1</v>
      </c>
      <c r="AD1247" t="n">
        <v>2</v>
      </c>
      <c r="AE1247" t="n">
        <v>4</v>
      </c>
      <c r="AF1247" t="n">
        <v>1</v>
      </c>
      <c r="AG1247" t="n">
        <v>3</v>
      </c>
      <c r="AH1247" t="n">
        <v>0</v>
      </c>
      <c r="AI1247" t="n">
        <v>1</v>
      </c>
      <c r="AJ1247" t="n">
        <v>1</v>
      </c>
      <c r="AK1247" t="n">
        <v>1</v>
      </c>
      <c r="AL1247" t="n">
        <v>0</v>
      </c>
      <c r="AM1247" t="n">
        <v>0</v>
      </c>
      <c r="AN1247" t="n">
        <v>1</v>
      </c>
      <c r="AO1247" t="n">
        <v>1</v>
      </c>
      <c r="AP1247" t="inlineStr">
        <is>
          <t>No</t>
        </is>
      </c>
      <c r="AQ1247" t="inlineStr">
        <is>
          <t>No</t>
        </is>
      </c>
      <c r="AS1247">
        <f>HYPERLINK("https://creighton-primo.hosted.exlibrisgroup.com/primo-explore/search?tab=default_tab&amp;search_scope=EVERYTHING&amp;vid=01CRU&amp;lang=en_US&amp;offset=0&amp;query=any,contains,991004655019702656","Catalog Record")</f>
        <v/>
      </c>
      <c r="AT1247">
        <f>HYPERLINK("http://www.worldcat.org/oclc/60590129","WorldCat Record")</f>
        <v/>
      </c>
      <c r="AU1247" t="inlineStr">
        <is>
          <t>46049205:eng</t>
        </is>
      </c>
      <c r="AV1247" t="inlineStr">
        <is>
          <t>60590129</t>
        </is>
      </c>
      <c r="AW1247" t="inlineStr">
        <is>
          <t>991004655019702656</t>
        </is>
      </c>
      <c r="AX1247" t="inlineStr">
        <is>
          <t>991004655019702656</t>
        </is>
      </c>
      <c r="AY1247" t="inlineStr">
        <is>
          <t>2272342720002656</t>
        </is>
      </c>
      <c r="AZ1247" t="inlineStr">
        <is>
          <t>BOOK</t>
        </is>
      </c>
      <c r="BB1247" t="inlineStr">
        <is>
          <t>9781565125148</t>
        </is>
      </c>
      <c r="BC1247" t="inlineStr">
        <is>
          <t>32285005084537</t>
        </is>
      </c>
      <c r="BD1247" t="inlineStr">
        <is>
          <t>893526359</t>
        </is>
      </c>
    </row>
    <row r="1248">
      <c r="A1248" t="inlineStr">
        <is>
          <t>No</t>
        </is>
      </c>
      <c r="B1248" t="inlineStr">
        <is>
          <t>HV8705 .M67</t>
        </is>
      </c>
      <c r="C1248" t="inlineStr">
        <is>
          <t>0                      HV 8705000M  67</t>
        </is>
      </c>
      <c r="D1248" t="inlineStr">
        <is>
          <t>The future of imprisonment.</t>
        </is>
      </c>
      <c r="F1248" t="inlineStr">
        <is>
          <t>No</t>
        </is>
      </c>
      <c r="G1248" t="inlineStr">
        <is>
          <t>1</t>
        </is>
      </c>
      <c r="H1248" t="inlineStr">
        <is>
          <t>Yes</t>
        </is>
      </c>
      <c r="I1248" t="inlineStr">
        <is>
          <t>No</t>
        </is>
      </c>
      <c r="J1248" t="inlineStr">
        <is>
          <t>0</t>
        </is>
      </c>
      <c r="K1248" t="inlineStr">
        <is>
          <t>Morris, Norval, 1923-2004.</t>
        </is>
      </c>
      <c r="L1248" t="inlineStr">
        <is>
          <t>Chicago, University of Chicago Press c1974.</t>
        </is>
      </c>
      <c r="M1248" t="inlineStr">
        <is>
          <t>1974</t>
        </is>
      </c>
      <c r="O1248" t="inlineStr">
        <is>
          <t>eng</t>
        </is>
      </c>
      <c r="P1248" t="inlineStr">
        <is>
          <t>ilu</t>
        </is>
      </c>
      <c r="Q1248" t="inlineStr">
        <is>
          <t>Studies in crime and justice</t>
        </is>
      </c>
      <c r="R1248" t="inlineStr">
        <is>
          <t xml:space="preserve">HV </t>
        </is>
      </c>
      <c r="S1248" t="n">
        <v>11</v>
      </c>
      <c r="T1248" t="n">
        <v>12</v>
      </c>
      <c r="U1248" t="inlineStr">
        <is>
          <t>2007-03-25</t>
        </is>
      </c>
      <c r="V1248" t="inlineStr">
        <is>
          <t>2007-03-25</t>
        </is>
      </c>
      <c r="W1248" t="inlineStr">
        <is>
          <t>1992-04-13</t>
        </is>
      </c>
      <c r="X1248" t="inlineStr">
        <is>
          <t>1996-12-06</t>
        </is>
      </c>
      <c r="Y1248" t="n">
        <v>1078</v>
      </c>
      <c r="Z1248" t="n">
        <v>905</v>
      </c>
      <c r="AA1248" t="n">
        <v>906</v>
      </c>
      <c r="AB1248" t="n">
        <v>9</v>
      </c>
      <c r="AC1248" t="n">
        <v>9</v>
      </c>
      <c r="AD1248" t="n">
        <v>50</v>
      </c>
      <c r="AE1248" t="n">
        <v>50</v>
      </c>
      <c r="AF1248" t="n">
        <v>12</v>
      </c>
      <c r="AG1248" t="n">
        <v>12</v>
      </c>
      <c r="AH1248" t="n">
        <v>10</v>
      </c>
      <c r="AI1248" t="n">
        <v>10</v>
      </c>
      <c r="AJ1248" t="n">
        <v>15</v>
      </c>
      <c r="AK1248" t="n">
        <v>15</v>
      </c>
      <c r="AL1248" t="n">
        <v>6</v>
      </c>
      <c r="AM1248" t="n">
        <v>6</v>
      </c>
      <c r="AN1248" t="n">
        <v>16</v>
      </c>
      <c r="AO1248" t="n">
        <v>16</v>
      </c>
      <c r="AP1248" t="inlineStr">
        <is>
          <t>No</t>
        </is>
      </c>
      <c r="AQ1248" t="inlineStr">
        <is>
          <t>No</t>
        </is>
      </c>
      <c r="AS1248">
        <f>HYPERLINK("https://creighton-primo.hosted.exlibrisgroup.com/primo-explore/search?tab=default_tab&amp;search_scope=EVERYTHING&amp;vid=01CRU&amp;lang=en_US&amp;offset=0&amp;query=any,contains,991001689749702656","Catalog Record")</f>
        <v/>
      </c>
      <c r="AT1248">
        <f>HYPERLINK("http://www.worldcat.org/oclc/995086","WorldCat Record")</f>
        <v/>
      </c>
      <c r="AU1248" t="inlineStr">
        <is>
          <t>140870667:eng</t>
        </is>
      </c>
      <c r="AV1248" t="inlineStr">
        <is>
          <t>995086</t>
        </is>
      </c>
      <c r="AW1248" t="inlineStr">
        <is>
          <t>991001689749702656</t>
        </is>
      </c>
      <c r="AX1248" t="inlineStr">
        <is>
          <t>991001689749702656</t>
        </is>
      </c>
      <c r="AY1248" t="inlineStr">
        <is>
          <t>2257091660002656</t>
        </is>
      </c>
      <c r="AZ1248" t="inlineStr">
        <is>
          <t>BOOK</t>
        </is>
      </c>
      <c r="BB1248" t="inlineStr">
        <is>
          <t>9780226539058</t>
        </is>
      </c>
      <c r="BC1248" t="inlineStr">
        <is>
          <t>32285001052942</t>
        </is>
      </c>
      <c r="BD1248" t="inlineStr">
        <is>
          <t>893420521</t>
        </is>
      </c>
    </row>
    <row r="1249">
      <c r="A1249" t="inlineStr">
        <is>
          <t>No</t>
        </is>
      </c>
      <c r="B1249" t="inlineStr">
        <is>
          <t>HV873 .K56 1999</t>
        </is>
      </c>
      <c r="C1249" t="inlineStr">
        <is>
          <t>0                      HV 0873000K  56          1999</t>
        </is>
      </c>
      <c r="D1249" t="inlineStr">
        <is>
          <t>Kinship foster care : policy, practice, and research / edited by Rebecca L. Hegar, Maria Scannapieco.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New York : Oxford University Press, 1999.</t>
        </is>
      </c>
      <c r="M1249" t="inlineStr">
        <is>
          <t>1999</t>
        </is>
      </c>
      <c r="O1249" t="inlineStr">
        <is>
          <t>eng</t>
        </is>
      </c>
      <c r="P1249" t="inlineStr">
        <is>
          <t>nyu</t>
        </is>
      </c>
      <c r="Q1249" t="inlineStr">
        <is>
          <t>Child welfare</t>
        </is>
      </c>
      <c r="R1249" t="inlineStr">
        <is>
          <t xml:space="preserve">HV </t>
        </is>
      </c>
      <c r="S1249" t="n">
        <v>3</v>
      </c>
      <c r="T1249" t="n">
        <v>3</v>
      </c>
      <c r="U1249" t="inlineStr">
        <is>
          <t>2008-11-08</t>
        </is>
      </c>
      <c r="V1249" t="inlineStr">
        <is>
          <t>2008-11-08</t>
        </is>
      </c>
      <c r="W1249" t="inlineStr">
        <is>
          <t>2000-11-30</t>
        </is>
      </c>
      <c r="X1249" t="inlineStr">
        <is>
          <t>2000-11-30</t>
        </is>
      </c>
      <c r="Y1249" t="n">
        <v>344</v>
      </c>
      <c r="Z1249" t="n">
        <v>282</v>
      </c>
      <c r="AA1249" t="n">
        <v>337</v>
      </c>
      <c r="AB1249" t="n">
        <v>3</v>
      </c>
      <c r="AC1249" t="n">
        <v>4</v>
      </c>
      <c r="AD1249" t="n">
        <v>16</v>
      </c>
      <c r="AE1249" t="n">
        <v>21</v>
      </c>
      <c r="AF1249" t="n">
        <v>4</v>
      </c>
      <c r="AG1249" t="n">
        <v>5</v>
      </c>
      <c r="AH1249" t="n">
        <v>5</v>
      </c>
      <c r="AI1249" t="n">
        <v>8</v>
      </c>
      <c r="AJ1249" t="n">
        <v>10</v>
      </c>
      <c r="AK1249" t="n">
        <v>11</v>
      </c>
      <c r="AL1249" t="n">
        <v>2</v>
      </c>
      <c r="AM1249" t="n">
        <v>3</v>
      </c>
      <c r="AN1249" t="n">
        <v>1</v>
      </c>
      <c r="AO1249" t="n">
        <v>1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HYPERLINK("https://creighton-primo.hosted.exlibrisgroup.com/primo-explore/search?tab=default_tab&amp;search_scope=EVERYTHING&amp;vid=01CRU&amp;lang=en_US&amp;offset=0&amp;query=any,contains,991003283589702656","Catalog Record")</f>
        <v/>
      </c>
      <c r="AT1249">
        <f>HYPERLINK("http://www.worldcat.org/oclc/37594234","WorldCat Record")</f>
        <v/>
      </c>
      <c r="AU1249" t="inlineStr">
        <is>
          <t>837000840:eng</t>
        </is>
      </c>
      <c r="AV1249" t="inlineStr">
        <is>
          <t>37594234</t>
        </is>
      </c>
      <c r="AW1249" t="inlineStr">
        <is>
          <t>991003283589702656</t>
        </is>
      </c>
      <c r="AX1249" t="inlineStr">
        <is>
          <t>991003283589702656</t>
        </is>
      </c>
      <c r="AY1249" t="inlineStr">
        <is>
          <t>2261864240002656</t>
        </is>
      </c>
      <c r="AZ1249" t="inlineStr">
        <is>
          <t>BOOK</t>
        </is>
      </c>
      <c r="BB1249" t="inlineStr">
        <is>
          <t>9780195109399</t>
        </is>
      </c>
      <c r="BC1249" t="inlineStr">
        <is>
          <t>32285004268560</t>
        </is>
      </c>
      <c r="BD1249" t="inlineStr">
        <is>
          <t>893416225</t>
        </is>
      </c>
    </row>
    <row r="1250">
      <c r="A1250" t="inlineStr">
        <is>
          <t>No</t>
        </is>
      </c>
      <c r="B1250" t="inlineStr">
        <is>
          <t>HV873 .S93 1994</t>
        </is>
      </c>
      <c r="C1250" t="inlineStr">
        <is>
          <t>0                      HV 0873000S  93          1994</t>
        </is>
      </c>
      <c r="D1250" t="inlineStr">
        <is>
          <t>Urban children in distress : global predicaments and innovative strategies / Cristina Szanton Blanc ; with contributors.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Szanton Blanc, Cristina.</t>
        </is>
      </c>
      <c r="L1250" t="inlineStr">
        <is>
          <t>Langhorne, Pa. : Gordon and Breach, 1994.</t>
        </is>
      </c>
      <c r="M1250" t="inlineStr">
        <is>
          <t>1994</t>
        </is>
      </c>
      <c r="O1250" t="inlineStr">
        <is>
          <t>eng</t>
        </is>
      </c>
      <c r="P1250" t="inlineStr">
        <is>
          <t>pau</t>
        </is>
      </c>
      <c r="R1250" t="inlineStr">
        <is>
          <t xml:space="preserve">HV </t>
        </is>
      </c>
      <c r="S1250" t="n">
        <v>5</v>
      </c>
      <c r="T1250" t="n">
        <v>5</v>
      </c>
      <c r="U1250" t="inlineStr">
        <is>
          <t>2010-03-04</t>
        </is>
      </c>
      <c r="V1250" t="inlineStr">
        <is>
          <t>2010-03-04</t>
        </is>
      </c>
      <c r="W1250" t="inlineStr">
        <is>
          <t>1995-10-30</t>
        </is>
      </c>
      <c r="X1250" t="inlineStr">
        <is>
          <t>1995-10-30</t>
        </is>
      </c>
      <c r="Y1250" t="n">
        <v>256</v>
      </c>
      <c r="Z1250" t="n">
        <v>179</v>
      </c>
      <c r="AA1250" t="n">
        <v>206</v>
      </c>
      <c r="AB1250" t="n">
        <v>2</v>
      </c>
      <c r="AC1250" t="n">
        <v>2</v>
      </c>
      <c r="AD1250" t="n">
        <v>13</v>
      </c>
      <c r="AE1250" t="n">
        <v>13</v>
      </c>
      <c r="AF1250" t="n">
        <v>5</v>
      </c>
      <c r="AG1250" t="n">
        <v>5</v>
      </c>
      <c r="AH1250" t="n">
        <v>6</v>
      </c>
      <c r="AI1250" t="n">
        <v>6</v>
      </c>
      <c r="AJ1250" t="n">
        <v>6</v>
      </c>
      <c r="AK1250" t="n">
        <v>6</v>
      </c>
      <c r="AL1250" t="n">
        <v>1</v>
      </c>
      <c r="AM1250" t="n">
        <v>1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Yes</t>
        </is>
      </c>
      <c r="AR1250">
        <f>HYPERLINK("http://catalog.hathitrust.org/Record/002908340","HathiTrust Record")</f>
        <v/>
      </c>
      <c r="AS1250">
        <f>HYPERLINK("https://creighton-primo.hosted.exlibrisgroup.com/primo-explore/search?tab=default_tab&amp;search_scope=EVERYTHING&amp;vid=01CRU&amp;lang=en_US&amp;offset=0&amp;query=any,contains,991002296229702656","Catalog Record")</f>
        <v/>
      </c>
      <c r="AT1250">
        <f>HYPERLINK("http://www.worldcat.org/oclc/29792354","WorldCat Record")</f>
        <v/>
      </c>
      <c r="AU1250" t="inlineStr">
        <is>
          <t>3140306:eng</t>
        </is>
      </c>
      <c r="AV1250" t="inlineStr">
        <is>
          <t>29792354</t>
        </is>
      </c>
      <c r="AW1250" t="inlineStr">
        <is>
          <t>991002296229702656</t>
        </is>
      </c>
      <c r="AX1250" t="inlineStr">
        <is>
          <t>991002296229702656</t>
        </is>
      </c>
      <c r="AY1250" t="inlineStr">
        <is>
          <t>2267376800002656</t>
        </is>
      </c>
      <c r="AZ1250" t="inlineStr">
        <is>
          <t>BOOK</t>
        </is>
      </c>
      <c r="BB1250" t="inlineStr">
        <is>
          <t>9782881246227</t>
        </is>
      </c>
      <c r="BC1250" t="inlineStr">
        <is>
          <t>32285002099579</t>
        </is>
      </c>
      <c r="BD1250" t="inlineStr">
        <is>
          <t>893316642</t>
        </is>
      </c>
    </row>
    <row r="1251">
      <c r="A1251" t="inlineStr">
        <is>
          <t>No</t>
        </is>
      </c>
      <c r="B1251" t="inlineStr">
        <is>
          <t>HV8738 .H37 1999</t>
        </is>
      </c>
      <c r="C1251" t="inlineStr">
        <is>
          <t>0                      HV 8738000H  37          1999</t>
        </is>
      </c>
      <c r="D1251" t="inlineStr">
        <is>
          <t>Harsh punishment : international experiences of women's imprisonment / edited by Sandy Cook and Susanne Davies.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L1251" t="inlineStr">
        <is>
          <t>Boston : Northeastern University Press, c1999.</t>
        </is>
      </c>
      <c r="M1251" t="inlineStr">
        <is>
          <t>1999</t>
        </is>
      </c>
      <c r="O1251" t="inlineStr">
        <is>
          <t>eng</t>
        </is>
      </c>
      <c r="P1251" t="inlineStr">
        <is>
          <t>mau</t>
        </is>
      </c>
      <c r="Q1251" t="inlineStr">
        <is>
          <t>The Northeastern series on gender, crime, and law</t>
        </is>
      </c>
      <c r="R1251" t="inlineStr">
        <is>
          <t xml:space="preserve">HV </t>
        </is>
      </c>
      <c r="S1251" t="n">
        <v>3</v>
      </c>
      <c r="T1251" t="n">
        <v>3</v>
      </c>
      <c r="U1251" t="inlineStr">
        <is>
          <t>2005-04-19</t>
        </is>
      </c>
      <c r="V1251" t="inlineStr">
        <is>
          <t>2005-04-19</t>
        </is>
      </c>
      <c r="W1251" t="inlineStr">
        <is>
          <t>2001-12-06</t>
        </is>
      </c>
      <c r="X1251" t="inlineStr">
        <is>
          <t>2001-12-06</t>
        </is>
      </c>
      <c r="Y1251" t="n">
        <v>447</v>
      </c>
      <c r="Z1251" t="n">
        <v>377</v>
      </c>
      <c r="AA1251" t="n">
        <v>384</v>
      </c>
      <c r="AB1251" t="n">
        <v>2</v>
      </c>
      <c r="AC1251" t="n">
        <v>2</v>
      </c>
      <c r="AD1251" t="n">
        <v>26</v>
      </c>
      <c r="AE1251" t="n">
        <v>26</v>
      </c>
      <c r="AF1251" t="n">
        <v>8</v>
      </c>
      <c r="AG1251" t="n">
        <v>8</v>
      </c>
      <c r="AH1251" t="n">
        <v>5</v>
      </c>
      <c r="AI1251" t="n">
        <v>5</v>
      </c>
      <c r="AJ1251" t="n">
        <v>12</v>
      </c>
      <c r="AK1251" t="n">
        <v>12</v>
      </c>
      <c r="AL1251" t="n">
        <v>1</v>
      </c>
      <c r="AM1251" t="n">
        <v>1</v>
      </c>
      <c r="AN1251" t="n">
        <v>5</v>
      </c>
      <c r="AO1251" t="n">
        <v>5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HYPERLINK("https://creighton-primo.hosted.exlibrisgroup.com/primo-explore/search?tab=default_tab&amp;search_scope=EVERYTHING&amp;vid=01CRU&amp;lang=en_US&amp;offset=0&amp;query=any,contains,991003677119702656","Catalog Record")</f>
        <v/>
      </c>
      <c r="AT1251">
        <f>HYPERLINK("http://www.worldcat.org/oclc/41326304","WorldCat Record")</f>
        <v/>
      </c>
      <c r="AU1251" t="inlineStr">
        <is>
          <t>905528258:eng</t>
        </is>
      </c>
      <c r="AV1251" t="inlineStr">
        <is>
          <t>41326304</t>
        </is>
      </c>
      <c r="AW1251" t="inlineStr">
        <is>
          <t>991003677119702656</t>
        </is>
      </c>
      <c r="AX1251" t="inlineStr">
        <is>
          <t>991003677119702656</t>
        </is>
      </c>
      <c r="AY1251" t="inlineStr">
        <is>
          <t>2264850460002656</t>
        </is>
      </c>
      <c r="AZ1251" t="inlineStr">
        <is>
          <t>BOOK</t>
        </is>
      </c>
      <c r="BB1251" t="inlineStr">
        <is>
          <t>9781555534110</t>
        </is>
      </c>
      <c r="BC1251" t="inlineStr">
        <is>
          <t>32285004426549</t>
        </is>
      </c>
      <c r="BD1251" t="inlineStr">
        <is>
          <t>893324335</t>
        </is>
      </c>
    </row>
    <row r="1252">
      <c r="A1252" t="inlineStr">
        <is>
          <t>No</t>
        </is>
      </c>
      <c r="B1252" t="inlineStr">
        <is>
          <t>HV874.8 .P69 1985</t>
        </is>
      </c>
      <c r="C1252" t="inlineStr">
        <is>
          <t>0                      HV 0874800P  69          1985</t>
        </is>
      </c>
      <c r="D1252" t="inlineStr">
        <is>
          <t>Whose child am I? : adults' recollections of being adopted / John Y. Powell.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Powell, John Y.</t>
        </is>
      </c>
      <c r="L1252" t="inlineStr">
        <is>
          <t>New York : Tiresias Press, c1985.</t>
        </is>
      </c>
      <c r="M1252" t="inlineStr">
        <is>
          <t>1985</t>
        </is>
      </c>
      <c r="O1252" t="inlineStr">
        <is>
          <t>eng</t>
        </is>
      </c>
      <c r="P1252" t="inlineStr">
        <is>
          <t>nyu</t>
        </is>
      </c>
      <c r="R1252" t="inlineStr">
        <is>
          <t xml:space="preserve">HV </t>
        </is>
      </c>
      <c r="S1252" t="n">
        <v>21</v>
      </c>
      <c r="T1252" t="n">
        <v>21</v>
      </c>
      <c r="U1252" t="inlineStr">
        <is>
          <t>2008-10-15</t>
        </is>
      </c>
      <c r="V1252" t="inlineStr">
        <is>
          <t>2008-10-15</t>
        </is>
      </c>
      <c r="W1252" t="inlineStr">
        <is>
          <t>1993-05-12</t>
        </is>
      </c>
      <c r="X1252" t="inlineStr">
        <is>
          <t>1993-05-12</t>
        </is>
      </c>
      <c r="Y1252" t="n">
        <v>122</v>
      </c>
      <c r="Z1252" t="n">
        <v>107</v>
      </c>
      <c r="AA1252" t="n">
        <v>112</v>
      </c>
      <c r="AB1252" t="n">
        <v>1</v>
      </c>
      <c r="AC1252" t="n">
        <v>1</v>
      </c>
      <c r="AD1252" t="n">
        <v>7</v>
      </c>
      <c r="AE1252" t="n">
        <v>7</v>
      </c>
      <c r="AF1252" t="n">
        <v>3</v>
      </c>
      <c r="AG1252" t="n">
        <v>3</v>
      </c>
      <c r="AH1252" t="n">
        <v>2</v>
      </c>
      <c r="AI1252" t="n">
        <v>2</v>
      </c>
      <c r="AJ1252" t="n">
        <v>4</v>
      </c>
      <c r="AK1252" t="n">
        <v>4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No</t>
        </is>
      </c>
      <c r="AS1252">
        <f>HYPERLINK("https://creighton-primo.hosted.exlibrisgroup.com/primo-explore/search?tab=default_tab&amp;search_scope=EVERYTHING&amp;vid=01CRU&amp;lang=en_US&amp;offset=0&amp;query=any,contains,991000751009702656","Catalog Record")</f>
        <v/>
      </c>
      <c r="AT1252">
        <f>HYPERLINK("http://www.worldcat.org/oclc/12927462","WorldCat Record")</f>
        <v/>
      </c>
      <c r="AU1252" t="inlineStr">
        <is>
          <t>1862315557:eng</t>
        </is>
      </c>
      <c r="AV1252" t="inlineStr">
        <is>
          <t>12927462</t>
        </is>
      </c>
      <c r="AW1252" t="inlineStr">
        <is>
          <t>991000751009702656</t>
        </is>
      </c>
      <c r="AX1252" t="inlineStr">
        <is>
          <t>991000751009702656</t>
        </is>
      </c>
      <c r="AY1252" t="inlineStr">
        <is>
          <t>2256979750002656</t>
        </is>
      </c>
      <c r="AZ1252" t="inlineStr">
        <is>
          <t>BOOK</t>
        </is>
      </c>
      <c r="BB1252" t="inlineStr">
        <is>
          <t>9780913292419</t>
        </is>
      </c>
      <c r="BC1252" t="inlineStr">
        <is>
          <t>32285001653798</t>
        </is>
      </c>
      <c r="BD1252" t="inlineStr">
        <is>
          <t>893249642</t>
        </is>
      </c>
    </row>
    <row r="1253">
      <c r="A1253" t="inlineStr">
        <is>
          <t>No</t>
        </is>
      </c>
      <c r="B1253" t="inlineStr">
        <is>
          <t>HV875 .A338 1991</t>
        </is>
      </c>
      <c r="C1253" t="inlineStr">
        <is>
          <t>0                      HV 0875000A  338         1991</t>
        </is>
      </c>
      <c r="D1253" t="inlineStr">
        <is>
          <t>Adoption : international perspectives / edited by Euthymia D. Hibbs.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L1253" t="inlineStr">
        <is>
          <t>Madison, Conn. : International Universities Press, 1991.</t>
        </is>
      </c>
      <c r="M1253" t="inlineStr">
        <is>
          <t>1991</t>
        </is>
      </c>
      <c r="O1253" t="inlineStr">
        <is>
          <t>eng</t>
        </is>
      </c>
      <c r="P1253" t="inlineStr">
        <is>
          <t>ctu</t>
        </is>
      </c>
      <c r="R1253" t="inlineStr">
        <is>
          <t xml:space="preserve">HV </t>
        </is>
      </c>
      <c r="S1253" t="n">
        <v>31</v>
      </c>
      <c r="T1253" t="n">
        <v>31</v>
      </c>
      <c r="U1253" t="inlineStr">
        <is>
          <t>2009-05-06</t>
        </is>
      </c>
      <c r="V1253" t="inlineStr">
        <is>
          <t>2009-05-06</t>
        </is>
      </c>
      <c r="W1253" t="inlineStr">
        <is>
          <t>1993-01-21</t>
        </is>
      </c>
      <c r="X1253" t="inlineStr">
        <is>
          <t>1993-01-21</t>
        </is>
      </c>
      <c r="Y1253" t="n">
        <v>284</v>
      </c>
      <c r="Z1253" t="n">
        <v>228</v>
      </c>
      <c r="AA1253" t="n">
        <v>235</v>
      </c>
      <c r="AB1253" t="n">
        <v>2</v>
      </c>
      <c r="AC1253" t="n">
        <v>2</v>
      </c>
      <c r="AD1253" t="n">
        <v>12</v>
      </c>
      <c r="AE1253" t="n">
        <v>12</v>
      </c>
      <c r="AF1253" t="n">
        <v>5</v>
      </c>
      <c r="AG1253" t="n">
        <v>5</v>
      </c>
      <c r="AH1253" t="n">
        <v>3</v>
      </c>
      <c r="AI1253" t="n">
        <v>3</v>
      </c>
      <c r="AJ1253" t="n">
        <v>5</v>
      </c>
      <c r="AK1253" t="n">
        <v>5</v>
      </c>
      <c r="AL1253" t="n">
        <v>1</v>
      </c>
      <c r="AM1253" t="n">
        <v>1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HYPERLINK("http://catalog.hathitrust.org/Record/002495067","HathiTrust Record")</f>
        <v/>
      </c>
      <c r="AS1253">
        <f>HYPERLINK("https://creighton-primo.hosted.exlibrisgroup.com/primo-explore/search?tab=default_tab&amp;search_scope=EVERYTHING&amp;vid=01CRU&amp;lang=en_US&amp;offset=0&amp;query=any,contains,991001857169702656","Catalog Record")</f>
        <v/>
      </c>
      <c r="AT1253">
        <f>HYPERLINK("http://www.worldcat.org/oclc/23287877","WorldCat Record")</f>
        <v/>
      </c>
      <c r="AU1253" t="inlineStr">
        <is>
          <t>865282463:eng</t>
        </is>
      </c>
      <c r="AV1253" t="inlineStr">
        <is>
          <t>23287877</t>
        </is>
      </c>
      <c r="AW1253" t="inlineStr">
        <is>
          <t>991001857169702656</t>
        </is>
      </c>
      <c r="AX1253" t="inlineStr">
        <is>
          <t>991001857169702656</t>
        </is>
      </c>
      <c r="AY1253" t="inlineStr">
        <is>
          <t>2271952490002656</t>
        </is>
      </c>
      <c r="AZ1253" t="inlineStr">
        <is>
          <t>BOOK</t>
        </is>
      </c>
      <c r="BB1253" t="inlineStr">
        <is>
          <t>9780823600960</t>
        </is>
      </c>
      <c r="BC1253" t="inlineStr">
        <is>
          <t>32285001447647</t>
        </is>
      </c>
      <c r="BD1253" t="inlineStr">
        <is>
          <t>893408416</t>
        </is>
      </c>
    </row>
    <row r="1254">
      <c r="A1254" t="inlineStr">
        <is>
          <t>No</t>
        </is>
      </c>
      <c r="B1254" t="inlineStr">
        <is>
          <t>HV875 .A46</t>
        </is>
      </c>
      <c r="C1254" t="inlineStr">
        <is>
          <t>0                      HV 0875000A  46</t>
        </is>
      </c>
      <c r="D1254" t="inlineStr">
        <is>
          <t>Adoption of children.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American Academy of Pediatrics. Committee on Adoptions.</t>
        </is>
      </c>
      <c r="L1254" t="inlineStr">
        <is>
          <t>Evanston, Ill. : American Academy of Pediatrics, [1959]</t>
        </is>
      </c>
      <c r="M1254" t="inlineStr">
        <is>
          <t>1959</t>
        </is>
      </c>
      <c r="O1254" t="inlineStr">
        <is>
          <t>pol</t>
        </is>
      </c>
      <c r="P1254" t="inlineStr">
        <is>
          <t xml:space="preserve">xx </t>
        </is>
      </c>
      <c r="R1254" t="inlineStr">
        <is>
          <t xml:space="preserve">HV </t>
        </is>
      </c>
      <c r="S1254" t="n">
        <v>16</v>
      </c>
      <c r="T1254" t="n">
        <v>16</v>
      </c>
      <c r="U1254" t="inlineStr">
        <is>
          <t>2003-02-07</t>
        </is>
      </c>
      <c r="V1254" t="inlineStr">
        <is>
          <t>2003-02-07</t>
        </is>
      </c>
      <c r="W1254" t="inlineStr">
        <is>
          <t>1993-12-01</t>
        </is>
      </c>
      <c r="X1254" t="inlineStr">
        <is>
          <t>1993-12-01</t>
        </is>
      </c>
      <c r="Y1254" t="n">
        <v>54</v>
      </c>
      <c r="Z1254" t="n">
        <v>48</v>
      </c>
      <c r="AA1254" t="n">
        <v>130</v>
      </c>
      <c r="AB1254" t="n">
        <v>1</v>
      </c>
      <c r="AC1254" t="n">
        <v>1</v>
      </c>
      <c r="AD1254" t="n">
        <v>1</v>
      </c>
      <c r="AE1254" t="n">
        <v>7</v>
      </c>
      <c r="AF1254" t="n">
        <v>0</v>
      </c>
      <c r="AG1254" t="n">
        <v>1</v>
      </c>
      <c r="AH1254" t="n">
        <v>0</v>
      </c>
      <c r="AI1254" t="n">
        <v>1</v>
      </c>
      <c r="AJ1254" t="n">
        <v>1</v>
      </c>
      <c r="AK1254" t="n">
        <v>2</v>
      </c>
      <c r="AL1254" t="n">
        <v>0</v>
      </c>
      <c r="AM1254" t="n">
        <v>0</v>
      </c>
      <c r="AN1254" t="n">
        <v>0</v>
      </c>
      <c r="AO1254" t="n">
        <v>3</v>
      </c>
      <c r="AP1254" t="inlineStr">
        <is>
          <t>Yes</t>
        </is>
      </c>
      <c r="AQ1254" t="inlineStr">
        <is>
          <t>No</t>
        </is>
      </c>
      <c r="AR1254">
        <f>HYPERLINK("http://catalog.hathitrust.org/Record/001132674","HathiTrust Record")</f>
        <v/>
      </c>
      <c r="AS1254">
        <f>HYPERLINK("https://creighton-primo.hosted.exlibrisgroup.com/primo-explore/search?tab=default_tab&amp;search_scope=EVERYTHING&amp;vid=01CRU&amp;lang=en_US&amp;offset=0&amp;query=any,contains,991001792609702656","Catalog Record")</f>
        <v/>
      </c>
      <c r="AT1254">
        <f>HYPERLINK("http://www.worldcat.org/oclc/3305461","WorldCat Record")</f>
        <v/>
      </c>
      <c r="AU1254" t="inlineStr">
        <is>
          <t>4530009:eng</t>
        </is>
      </c>
      <c r="AV1254" t="inlineStr">
        <is>
          <t>3305461</t>
        </is>
      </c>
      <c r="AW1254" t="inlineStr">
        <is>
          <t>991001792609702656</t>
        </is>
      </c>
      <c r="AX1254" t="inlineStr">
        <is>
          <t>991001792609702656</t>
        </is>
      </c>
      <c r="AY1254" t="inlineStr">
        <is>
          <t>2268162650002656</t>
        </is>
      </c>
      <c r="AZ1254" t="inlineStr">
        <is>
          <t>BOOK</t>
        </is>
      </c>
      <c r="BC1254" t="inlineStr">
        <is>
          <t>32285001814929</t>
        </is>
      </c>
      <c r="BD1254" t="inlineStr">
        <is>
          <t>893785398</t>
        </is>
      </c>
    </row>
    <row r="1255">
      <c r="A1255" t="inlineStr">
        <is>
          <t>No</t>
        </is>
      </c>
      <c r="B1255" t="inlineStr">
        <is>
          <t>HV875 .A55</t>
        </is>
      </c>
      <c r="C1255" t="inlineStr">
        <is>
          <t>0                      HV 0875000A  55</t>
        </is>
      </c>
      <c r="D1255" t="inlineStr">
        <is>
          <t>The adopted child, by Joseph G. Ansfield.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Ansfield, Joseph G., 1932-</t>
        </is>
      </c>
      <c r="L1255" t="inlineStr">
        <is>
          <t>Springfield, Ill., Thomas [1971]</t>
        </is>
      </c>
      <c r="M1255" t="inlineStr">
        <is>
          <t>1971</t>
        </is>
      </c>
      <c r="O1255" t="inlineStr">
        <is>
          <t>eng</t>
        </is>
      </c>
      <c r="P1255" t="inlineStr">
        <is>
          <t>ilu</t>
        </is>
      </c>
      <c r="R1255" t="inlineStr">
        <is>
          <t xml:space="preserve">HV </t>
        </is>
      </c>
      <c r="S1255" t="n">
        <v>22</v>
      </c>
      <c r="T1255" t="n">
        <v>22</v>
      </c>
      <c r="U1255" t="inlineStr">
        <is>
          <t>2004-04-05</t>
        </is>
      </c>
      <c r="V1255" t="inlineStr">
        <is>
          <t>2004-04-05</t>
        </is>
      </c>
      <c r="W1255" t="inlineStr">
        <is>
          <t>1995-06-30</t>
        </is>
      </c>
      <c r="X1255" t="inlineStr">
        <is>
          <t>1995-06-30</t>
        </is>
      </c>
      <c r="Y1255" t="n">
        <v>301</v>
      </c>
      <c r="Z1255" t="n">
        <v>255</v>
      </c>
      <c r="AA1255" t="n">
        <v>258</v>
      </c>
      <c r="AB1255" t="n">
        <v>3</v>
      </c>
      <c r="AC1255" t="n">
        <v>3</v>
      </c>
      <c r="AD1255" t="n">
        <v>11</v>
      </c>
      <c r="AE1255" t="n">
        <v>11</v>
      </c>
      <c r="AF1255" t="n">
        <v>1</v>
      </c>
      <c r="AG1255" t="n">
        <v>1</v>
      </c>
      <c r="AH1255" t="n">
        <v>1</v>
      </c>
      <c r="AI1255" t="n">
        <v>1</v>
      </c>
      <c r="AJ1255" t="n">
        <v>7</v>
      </c>
      <c r="AK1255" t="n">
        <v>7</v>
      </c>
      <c r="AL1255" t="n">
        <v>2</v>
      </c>
      <c r="AM1255" t="n">
        <v>2</v>
      </c>
      <c r="AN1255" t="n">
        <v>1</v>
      </c>
      <c r="AO1255" t="n">
        <v>1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HYPERLINK("http://catalog.hathitrust.org/Record/001743352","HathiTrust Record")</f>
        <v/>
      </c>
      <c r="AS1255">
        <f>HYPERLINK("https://creighton-primo.hosted.exlibrisgroup.com/primo-explore/search?tab=default_tab&amp;search_scope=EVERYTHING&amp;vid=01CRU&amp;lang=en_US&amp;offset=0&amp;query=any,contains,991000782139702656","Catalog Record")</f>
        <v/>
      </c>
      <c r="AT1255">
        <f>HYPERLINK("http://www.worldcat.org/oclc/135352","WorldCat Record")</f>
        <v/>
      </c>
      <c r="AU1255" t="inlineStr">
        <is>
          <t>1282610:eng</t>
        </is>
      </c>
      <c r="AV1255" t="inlineStr">
        <is>
          <t>135352</t>
        </is>
      </c>
      <c r="AW1255" t="inlineStr">
        <is>
          <t>991000782139702656</t>
        </is>
      </c>
      <c r="AX1255" t="inlineStr">
        <is>
          <t>991000782139702656</t>
        </is>
      </c>
      <c r="AY1255" t="inlineStr">
        <is>
          <t>2263436870002656</t>
        </is>
      </c>
      <c r="AZ1255" t="inlineStr">
        <is>
          <t>BOOK</t>
        </is>
      </c>
      <c r="BC1255" t="inlineStr">
        <is>
          <t>32285002021813</t>
        </is>
      </c>
      <c r="BD1255" t="inlineStr">
        <is>
          <t>893608275</t>
        </is>
      </c>
    </row>
    <row r="1256">
      <c r="A1256" t="inlineStr">
        <is>
          <t>No</t>
        </is>
      </c>
      <c r="B1256" t="inlineStr">
        <is>
          <t>HV875 .B38</t>
        </is>
      </c>
      <c r="C1256" t="inlineStr">
        <is>
          <t>0                      HV 0875000B  38</t>
        </is>
      </c>
      <c r="D1256" t="inlineStr">
        <is>
          <t>The rehabilitation of children : the theory and practice of child placement / by Edith M.H. Baylor and Elio D. Monachesi.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Baylor, Edith M. H. (Edith Miriam Hedges), 1870-</t>
        </is>
      </c>
      <c r="L1256" t="inlineStr">
        <is>
          <t>[New York] : Harper, [1939]</t>
        </is>
      </c>
      <c r="M1256" t="inlineStr">
        <is>
          <t>1939</t>
        </is>
      </c>
      <c r="N1256" t="inlineStr">
        <is>
          <t>[1st ed.]</t>
        </is>
      </c>
      <c r="O1256" t="inlineStr">
        <is>
          <t>eng</t>
        </is>
      </c>
      <c r="P1256" t="inlineStr">
        <is>
          <t xml:space="preserve">xx </t>
        </is>
      </c>
      <c r="Q1256" t="inlineStr">
        <is>
          <t>Harper's social science series</t>
        </is>
      </c>
      <c r="R1256" t="inlineStr">
        <is>
          <t xml:space="preserve">HV </t>
        </is>
      </c>
      <c r="S1256" t="n">
        <v>3</v>
      </c>
      <c r="T1256" t="n">
        <v>3</v>
      </c>
      <c r="U1256" t="inlineStr">
        <is>
          <t>1995-01-30</t>
        </is>
      </c>
      <c r="V1256" t="inlineStr">
        <is>
          <t>1995-01-30</t>
        </is>
      </c>
      <c r="W1256" t="inlineStr">
        <is>
          <t>1991-12-09</t>
        </is>
      </c>
      <c r="X1256" t="inlineStr">
        <is>
          <t>1991-12-09</t>
        </is>
      </c>
      <c r="Y1256" t="n">
        <v>192</v>
      </c>
      <c r="Z1256" t="n">
        <v>177</v>
      </c>
      <c r="AA1256" t="n">
        <v>179</v>
      </c>
      <c r="AB1256" t="n">
        <v>2</v>
      </c>
      <c r="AC1256" t="n">
        <v>2</v>
      </c>
      <c r="AD1256" t="n">
        <v>9</v>
      </c>
      <c r="AE1256" t="n">
        <v>9</v>
      </c>
      <c r="AF1256" t="n">
        <v>3</v>
      </c>
      <c r="AG1256" t="n">
        <v>3</v>
      </c>
      <c r="AH1256" t="n">
        <v>3</v>
      </c>
      <c r="AI1256" t="n">
        <v>3</v>
      </c>
      <c r="AJ1256" t="n">
        <v>3</v>
      </c>
      <c r="AK1256" t="n">
        <v>3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Yes</t>
        </is>
      </c>
      <c r="AR1256">
        <f>HYPERLINK("http://catalog.hathitrust.org/Record/102569708","HathiTrust Record")</f>
        <v/>
      </c>
      <c r="AS1256">
        <f>HYPERLINK("https://creighton-primo.hosted.exlibrisgroup.com/primo-explore/search?tab=default_tab&amp;search_scope=EVERYTHING&amp;vid=01CRU&amp;lang=en_US&amp;offset=0&amp;query=any,contains,991001528909702656","Catalog Record")</f>
        <v/>
      </c>
      <c r="AT1256">
        <f>HYPERLINK("http://www.worldcat.org/oclc/232294","WorldCat Record")</f>
        <v/>
      </c>
      <c r="AU1256" t="inlineStr">
        <is>
          <t>765985719:eng</t>
        </is>
      </c>
      <c r="AV1256" t="inlineStr">
        <is>
          <t>232294</t>
        </is>
      </c>
      <c r="AW1256" t="inlineStr">
        <is>
          <t>991001528909702656</t>
        </is>
      </c>
      <c r="AX1256" t="inlineStr">
        <is>
          <t>991001528909702656</t>
        </is>
      </c>
      <c r="AY1256" t="inlineStr">
        <is>
          <t>2258555050002656</t>
        </is>
      </c>
      <c r="AZ1256" t="inlineStr">
        <is>
          <t>BOOK</t>
        </is>
      </c>
      <c r="BC1256" t="inlineStr">
        <is>
          <t>32285000849371</t>
        </is>
      </c>
      <c r="BD1256" t="inlineStr">
        <is>
          <t>893340497</t>
        </is>
      </c>
    </row>
    <row r="1257">
      <c r="A1257" t="inlineStr">
        <is>
          <t>No</t>
        </is>
      </c>
      <c r="B1257" t="inlineStr">
        <is>
          <t>HV875 .B46 1976</t>
        </is>
      </c>
      <c r="C1257" t="inlineStr">
        <is>
          <t>0                      HV 0875000B  46          1976</t>
        </is>
      </c>
      <c r="D1257" t="inlineStr">
        <is>
          <t>The politics of adoption / Mary Kathleen Benet.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Benét, Mary Kathleen.</t>
        </is>
      </c>
      <c r="L1257" t="inlineStr">
        <is>
          <t>New York : The Free Press, c1976.</t>
        </is>
      </c>
      <c r="M1257" t="inlineStr">
        <is>
          <t>1976</t>
        </is>
      </c>
      <c r="N1257" t="inlineStr">
        <is>
          <t>1st American ed.</t>
        </is>
      </c>
      <c r="O1257" t="inlineStr">
        <is>
          <t>eng</t>
        </is>
      </c>
      <c r="P1257" t="inlineStr">
        <is>
          <t>nyu</t>
        </is>
      </c>
      <c r="R1257" t="inlineStr">
        <is>
          <t xml:space="preserve">HV </t>
        </is>
      </c>
      <c r="S1257" t="n">
        <v>52</v>
      </c>
      <c r="T1257" t="n">
        <v>52</v>
      </c>
      <c r="U1257" t="inlineStr">
        <is>
          <t>2004-04-05</t>
        </is>
      </c>
      <c r="V1257" t="inlineStr">
        <is>
          <t>2004-04-05</t>
        </is>
      </c>
      <c r="W1257" t="inlineStr">
        <is>
          <t>1991-12-16</t>
        </is>
      </c>
      <c r="X1257" t="inlineStr">
        <is>
          <t>1991-12-16</t>
        </is>
      </c>
      <c r="Y1257" t="n">
        <v>743</v>
      </c>
      <c r="Z1257" t="n">
        <v>695</v>
      </c>
      <c r="AA1257" t="n">
        <v>697</v>
      </c>
      <c r="AB1257" t="n">
        <v>4</v>
      </c>
      <c r="AC1257" t="n">
        <v>4</v>
      </c>
      <c r="AD1257" t="n">
        <v>26</v>
      </c>
      <c r="AE1257" t="n">
        <v>26</v>
      </c>
      <c r="AF1257" t="n">
        <v>3</v>
      </c>
      <c r="AG1257" t="n">
        <v>3</v>
      </c>
      <c r="AH1257" t="n">
        <v>6</v>
      </c>
      <c r="AI1257" t="n">
        <v>6</v>
      </c>
      <c r="AJ1257" t="n">
        <v>9</v>
      </c>
      <c r="AK1257" t="n">
        <v>9</v>
      </c>
      <c r="AL1257" t="n">
        <v>3</v>
      </c>
      <c r="AM1257" t="n">
        <v>3</v>
      </c>
      <c r="AN1257" t="n">
        <v>7</v>
      </c>
      <c r="AO1257" t="n">
        <v>7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HYPERLINK("http://catalog.hathitrust.org/Record/000705848","HathiTrust Record")</f>
        <v/>
      </c>
      <c r="AS1257">
        <f>HYPERLINK("https://creighton-primo.hosted.exlibrisgroup.com/primo-explore/search?tab=default_tab&amp;search_scope=EVERYTHING&amp;vid=01CRU&amp;lang=en_US&amp;offset=0&amp;query=any,contains,991004065409702656","Catalog Record")</f>
        <v/>
      </c>
      <c r="AT1257">
        <f>HYPERLINK("http://www.worldcat.org/oclc/2283839","WorldCat Record")</f>
        <v/>
      </c>
      <c r="AU1257" t="inlineStr">
        <is>
          <t>431214:eng</t>
        </is>
      </c>
      <c r="AV1257" t="inlineStr">
        <is>
          <t>2283839</t>
        </is>
      </c>
      <c r="AW1257" t="inlineStr">
        <is>
          <t>991004065409702656</t>
        </is>
      </c>
      <c r="AX1257" t="inlineStr">
        <is>
          <t>991004065409702656</t>
        </is>
      </c>
      <c r="AY1257" t="inlineStr">
        <is>
          <t>2266941300002656</t>
        </is>
      </c>
      <c r="AZ1257" t="inlineStr">
        <is>
          <t>BOOK</t>
        </is>
      </c>
      <c r="BB1257" t="inlineStr">
        <is>
          <t>9780029025000</t>
        </is>
      </c>
      <c r="BC1257" t="inlineStr">
        <is>
          <t>32285000906197</t>
        </is>
      </c>
      <c r="BD1257" t="inlineStr">
        <is>
          <t>893794434</t>
        </is>
      </c>
    </row>
    <row r="1258">
      <c r="A1258" t="inlineStr">
        <is>
          <t>No</t>
        </is>
      </c>
      <c r="B1258" t="inlineStr">
        <is>
          <t>HV875 .B74 1992</t>
        </is>
      </c>
      <c r="C1258" t="inlineStr">
        <is>
          <t>0                      HV 0875000B  74          1992</t>
        </is>
      </c>
      <c r="D1258" t="inlineStr">
        <is>
          <t>Being adopted : the lifelong search for self / David M. Brodzinsky, Marshall D. Schechter, Robin Marantz Henig.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Brodzinsky, David.</t>
        </is>
      </c>
      <c r="L1258" t="inlineStr">
        <is>
          <t>New York : Doubleday, 1992.</t>
        </is>
      </c>
      <c r="M1258" t="inlineStr">
        <is>
          <t>1992</t>
        </is>
      </c>
      <c r="N1258" t="inlineStr">
        <is>
          <t>1st ed.</t>
        </is>
      </c>
      <c r="O1258" t="inlineStr">
        <is>
          <t>eng</t>
        </is>
      </c>
      <c r="P1258" t="inlineStr">
        <is>
          <t>nyu</t>
        </is>
      </c>
      <c r="R1258" t="inlineStr">
        <is>
          <t xml:space="preserve">HV </t>
        </is>
      </c>
      <c r="S1258" t="n">
        <v>33</v>
      </c>
      <c r="T1258" t="n">
        <v>33</v>
      </c>
      <c r="U1258" t="inlineStr">
        <is>
          <t>2008-06-23</t>
        </is>
      </c>
      <c r="V1258" t="inlineStr">
        <is>
          <t>2008-06-23</t>
        </is>
      </c>
      <c r="W1258" t="inlineStr">
        <is>
          <t>1992-09-23</t>
        </is>
      </c>
      <c r="X1258" t="inlineStr">
        <is>
          <t>1992-09-23</t>
        </is>
      </c>
      <c r="Y1258" t="n">
        <v>571</v>
      </c>
      <c r="Z1258" t="n">
        <v>522</v>
      </c>
      <c r="AA1258" t="n">
        <v>737</v>
      </c>
      <c r="AB1258" t="n">
        <v>5</v>
      </c>
      <c r="AC1258" t="n">
        <v>7</v>
      </c>
      <c r="AD1258" t="n">
        <v>11</v>
      </c>
      <c r="AE1258" t="n">
        <v>16</v>
      </c>
      <c r="AF1258" t="n">
        <v>3</v>
      </c>
      <c r="AG1258" t="n">
        <v>4</v>
      </c>
      <c r="AH1258" t="n">
        <v>3</v>
      </c>
      <c r="AI1258" t="n">
        <v>5</v>
      </c>
      <c r="AJ1258" t="n">
        <v>3</v>
      </c>
      <c r="AK1258" t="n">
        <v>3</v>
      </c>
      <c r="AL1258" t="n">
        <v>3</v>
      </c>
      <c r="AM1258" t="n">
        <v>5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HYPERLINK("http://catalog.hathitrust.org/Record/002552990","HathiTrust Record")</f>
        <v/>
      </c>
      <c r="AS1258">
        <f>HYPERLINK("https://creighton-primo.hosted.exlibrisgroup.com/primo-explore/search?tab=default_tab&amp;search_scope=EVERYTHING&amp;vid=01CRU&amp;lang=en_US&amp;offset=0&amp;query=any,contains,991001925739702656","Catalog Record")</f>
        <v/>
      </c>
      <c r="AT1258">
        <f>HYPERLINK("http://www.worldcat.org/oclc/24319463","WorldCat Record")</f>
        <v/>
      </c>
      <c r="AU1258" t="inlineStr">
        <is>
          <t>4417309259:eng</t>
        </is>
      </c>
      <c r="AV1258" t="inlineStr">
        <is>
          <t>24319463</t>
        </is>
      </c>
      <c r="AW1258" t="inlineStr">
        <is>
          <t>991001925739702656</t>
        </is>
      </c>
      <c r="AX1258" t="inlineStr">
        <is>
          <t>991001925739702656</t>
        </is>
      </c>
      <c r="AY1258" t="inlineStr">
        <is>
          <t>2271939730002656</t>
        </is>
      </c>
      <c r="AZ1258" t="inlineStr">
        <is>
          <t>BOOK</t>
        </is>
      </c>
      <c r="BB1258" t="inlineStr">
        <is>
          <t>9780385414029</t>
        </is>
      </c>
      <c r="BC1258" t="inlineStr">
        <is>
          <t>32285001288868</t>
        </is>
      </c>
      <c r="BD1258" t="inlineStr">
        <is>
          <t>893322365</t>
        </is>
      </c>
    </row>
    <row r="1259">
      <c r="A1259" t="inlineStr">
        <is>
          <t>No</t>
        </is>
      </c>
      <c r="B1259" t="inlineStr">
        <is>
          <t>HV875 .G59</t>
        </is>
      </c>
      <c r="C1259" t="inlineStr">
        <is>
          <t>0                      HV 0875000G  59</t>
        </is>
      </c>
      <c r="D1259" t="inlineStr">
        <is>
          <t>Child placement through clinically oriented casework / by Esther Glickman.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Glickman, Esther.</t>
        </is>
      </c>
      <c r="L1259" t="inlineStr">
        <is>
          <t>New York : Columbia University Press, c1957.</t>
        </is>
      </c>
      <c r="M1259" t="inlineStr">
        <is>
          <t>1957</t>
        </is>
      </c>
      <c r="O1259" t="inlineStr">
        <is>
          <t>eng</t>
        </is>
      </c>
      <c r="P1259" t="inlineStr">
        <is>
          <t>nyu</t>
        </is>
      </c>
      <c r="R1259" t="inlineStr">
        <is>
          <t xml:space="preserve">HV </t>
        </is>
      </c>
      <c r="S1259" t="n">
        <v>5</v>
      </c>
      <c r="T1259" t="n">
        <v>5</v>
      </c>
      <c r="U1259" t="inlineStr">
        <is>
          <t>1995-10-24</t>
        </is>
      </c>
      <c r="V1259" t="inlineStr">
        <is>
          <t>1995-10-24</t>
        </is>
      </c>
      <c r="W1259" t="inlineStr">
        <is>
          <t>1993-08-20</t>
        </is>
      </c>
      <c r="X1259" t="inlineStr">
        <is>
          <t>1993-08-20</t>
        </is>
      </c>
      <c r="Y1259" t="n">
        <v>346</v>
      </c>
      <c r="Z1259" t="n">
        <v>281</v>
      </c>
      <c r="AA1259" t="n">
        <v>286</v>
      </c>
      <c r="AB1259" t="n">
        <v>4</v>
      </c>
      <c r="AC1259" t="n">
        <v>4</v>
      </c>
      <c r="AD1259" t="n">
        <v>16</v>
      </c>
      <c r="AE1259" t="n">
        <v>16</v>
      </c>
      <c r="AF1259" t="n">
        <v>6</v>
      </c>
      <c r="AG1259" t="n">
        <v>6</v>
      </c>
      <c r="AH1259" t="n">
        <v>2</v>
      </c>
      <c r="AI1259" t="n">
        <v>2</v>
      </c>
      <c r="AJ1259" t="n">
        <v>7</v>
      </c>
      <c r="AK1259" t="n">
        <v>7</v>
      </c>
      <c r="AL1259" t="n">
        <v>3</v>
      </c>
      <c r="AM1259" t="n">
        <v>3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HYPERLINK("https://creighton-primo.hosted.exlibrisgroup.com/primo-explore/search?tab=default_tab&amp;search_scope=EVERYTHING&amp;vid=01CRU&amp;lang=en_US&amp;offset=0&amp;query=any,contains,991002078559702656","Catalog Record")</f>
        <v/>
      </c>
      <c r="AT1259">
        <f>HYPERLINK("http://www.worldcat.org/oclc/264121","WorldCat Record")</f>
        <v/>
      </c>
      <c r="AU1259" t="inlineStr">
        <is>
          <t>571584:eng</t>
        </is>
      </c>
      <c r="AV1259" t="inlineStr">
        <is>
          <t>264121</t>
        </is>
      </c>
      <c r="AW1259" t="inlineStr">
        <is>
          <t>991002078559702656</t>
        </is>
      </c>
      <c r="AX1259" t="inlineStr">
        <is>
          <t>991002078559702656</t>
        </is>
      </c>
      <c r="AY1259" t="inlineStr">
        <is>
          <t>2268198380002656</t>
        </is>
      </c>
      <c r="AZ1259" t="inlineStr">
        <is>
          <t>BOOK</t>
        </is>
      </c>
      <c r="BC1259" t="inlineStr">
        <is>
          <t>32285001760346</t>
        </is>
      </c>
      <c r="BD1259" t="inlineStr">
        <is>
          <t>893504000</t>
        </is>
      </c>
    </row>
    <row r="1260">
      <c r="A1260" t="inlineStr">
        <is>
          <t>No</t>
        </is>
      </c>
      <c r="B1260" t="inlineStr">
        <is>
          <t>HV875 .K5</t>
        </is>
      </c>
      <c r="C1260" t="inlineStr">
        <is>
          <t>0                      HV 0875000K  5</t>
        </is>
      </c>
      <c r="D1260" t="inlineStr">
        <is>
          <t>Shared fate; a theory of adoption and mental health.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Kirk, H. David.</t>
        </is>
      </c>
      <c r="L1260" t="inlineStr">
        <is>
          <t>London, Free Press of Glencoe [1964]</t>
        </is>
      </c>
      <c r="M1260" t="inlineStr">
        <is>
          <t>1964</t>
        </is>
      </c>
      <c r="O1260" t="inlineStr">
        <is>
          <t>eng</t>
        </is>
      </c>
      <c r="P1260" t="inlineStr">
        <is>
          <t>enk</t>
        </is>
      </c>
      <c r="R1260" t="inlineStr">
        <is>
          <t xml:space="preserve">HV </t>
        </is>
      </c>
      <c r="S1260" t="n">
        <v>2</v>
      </c>
      <c r="T1260" t="n">
        <v>2</v>
      </c>
      <c r="U1260" t="inlineStr">
        <is>
          <t>1998-11-08</t>
        </is>
      </c>
      <c r="V1260" t="inlineStr">
        <is>
          <t>1998-11-08</t>
        </is>
      </c>
      <c r="W1260" t="inlineStr">
        <is>
          <t>1997-08-21</t>
        </is>
      </c>
      <c r="X1260" t="inlineStr">
        <is>
          <t>1997-08-21</t>
        </is>
      </c>
      <c r="Y1260" t="n">
        <v>502</v>
      </c>
      <c r="Z1260" t="n">
        <v>440</v>
      </c>
      <c r="AA1260" t="n">
        <v>479</v>
      </c>
      <c r="AB1260" t="n">
        <v>4</v>
      </c>
      <c r="AC1260" t="n">
        <v>5</v>
      </c>
      <c r="AD1260" t="n">
        <v>21</v>
      </c>
      <c r="AE1260" t="n">
        <v>25</v>
      </c>
      <c r="AF1260" t="n">
        <v>7</v>
      </c>
      <c r="AG1260" t="n">
        <v>9</v>
      </c>
      <c r="AH1260" t="n">
        <v>6</v>
      </c>
      <c r="AI1260" t="n">
        <v>6</v>
      </c>
      <c r="AJ1260" t="n">
        <v>9</v>
      </c>
      <c r="AK1260" t="n">
        <v>10</v>
      </c>
      <c r="AL1260" t="n">
        <v>3</v>
      </c>
      <c r="AM1260" t="n">
        <v>4</v>
      </c>
      <c r="AN1260" t="n">
        <v>2</v>
      </c>
      <c r="AO1260" t="n">
        <v>2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HYPERLINK("http://catalog.hathitrust.org/Record/009512702","HathiTrust Record")</f>
        <v/>
      </c>
      <c r="AS1260">
        <f>HYPERLINK("https://creighton-primo.hosted.exlibrisgroup.com/primo-explore/search?tab=default_tab&amp;search_scope=EVERYTHING&amp;vid=01CRU&amp;lang=en_US&amp;offset=0&amp;query=any,contains,991002072669702656","Catalog Record")</f>
        <v/>
      </c>
      <c r="AT1260">
        <f>HYPERLINK("http://www.worldcat.org/oclc/263675","WorldCat Record")</f>
        <v/>
      </c>
      <c r="AU1260" t="inlineStr">
        <is>
          <t>1377787:eng</t>
        </is>
      </c>
      <c r="AV1260" t="inlineStr">
        <is>
          <t>263675</t>
        </is>
      </c>
      <c r="AW1260" t="inlineStr">
        <is>
          <t>991002072669702656</t>
        </is>
      </c>
      <c r="AX1260" t="inlineStr">
        <is>
          <t>991002072669702656</t>
        </is>
      </c>
      <c r="AY1260" t="inlineStr">
        <is>
          <t>2268662200002656</t>
        </is>
      </c>
      <c r="AZ1260" t="inlineStr">
        <is>
          <t>BOOK</t>
        </is>
      </c>
      <c r="BC1260" t="inlineStr">
        <is>
          <t>32285003156618</t>
        </is>
      </c>
      <c r="BD1260" t="inlineStr">
        <is>
          <t>893609432</t>
        </is>
      </c>
    </row>
    <row r="1261">
      <c r="A1261" t="inlineStr">
        <is>
          <t>No</t>
        </is>
      </c>
      <c r="B1261" t="inlineStr">
        <is>
          <t>HV875 .L46</t>
        </is>
      </c>
      <c r="C1261" t="inlineStr">
        <is>
          <t>0                      HV 0875000L  46</t>
        </is>
      </c>
      <c r="D1261" t="inlineStr">
        <is>
          <t>Twice born : memoirs of an adopted daughter / Betty Jean Lifton.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Lifton, Betty Jean.</t>
        </is>
      </c>
      <c r="L1261" t="inlineStr">
        <is>
          <t>New York : McGraw Hill, [1975]</t>
        </is>
      </c>
      <c r="M1261" t="inlineStr">
        <is>
          <t>1975</t>
        </is>
      </c>
      <c r="O1261" t="inlineStr">
        <is>
          <t>eng</t>
        </is>
      </c>
      <c r="P1261" t="inlineStr">
        <is>
          <t>nyu</t>
        </is>
      </c>
      <c r="R1261" t="inlineStr">
        <is>
          <t xml:space="preserve">HV </t>
        </is>
      </c>
      <c r="S1261" t="n">
        <v>1</v>
      </c>
      <c r="T1261" t="n">
        <v>1</v>
      </c>
      <c r="U1261" t="inlineStr">
        <is>
          <t>2001-04-17</t>
        </is>
      </c>
      <c r="V1261" t="inlineStr">
        <is>
          <t>2001-04-17</t>
        </is>
      </c>
      <c r="W1261" t="inlineStr">
        <is>
          <t>1997-08-21</t>
        </is>
      </c>
      <c r="X1261" t="inlineStr">
        <is>
          <t>1997-08-21</t>
        </is>
      </c>
      <c r="Y1261" t="n">
        <v>449</v>
      </c>
      <c r="Z1261" t="n">
        <v>420</v>
      </c>
      <c r="AA1261" t="n">
        <v>555</v>
      </c>
      <c r="AB1261" t="n">
        <v>5</v>
      </c>
      <c r="AC1261" t="n">
        <v>6</v>
      </c>
      <c r="AD1261" t="n">
        <v>5</v>
      </c>
      <c r="AE1261" t="n">
        <v>9</v>
      </c>
      <c r="AF1261" t="n">
        <v>0</v>
      </c>
      <c r="AG1261" t="n">
        <v>2</v>
      </c>
      <c r="AH1261" t="n">
        <v>1</v>
      </c>
      <c r="AI1261" t="n">
        <v>3</v>
      </c>
      <c r="AJ1261" t="n">
        <v>2</v>
      </c>
      <c r="AK1261" t="n">
        <v>5</v>
      </c>
      <c r="AL1261" t="n">
        <v>2</v>
      </c>
      <c r="AM1261" t="n">
        <v>2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HYPERLINK("http://catalog.hathitrust.org/Record/000031181","HathiTrust Record")</f>
        <v/>
      </c>
      <c r="AS1261">
        <f>HYPERLINK("https://creighton-primo.hosted.exlibrisgroup.com/primo-explore/search?tab=default_tab&amp;search_scope=EVERYTHING&amp;vid=01CRU&amp;lang=en_US&amp;offset=0&amp;query=any,contains,991003671049702656","Catalog Record")</f>
        <v/>
      </c>
      <c r="AT1261">
        <f>HYPERLINK("http://www.worldcat.org/oclc/1288446","WorldCat Record")</f>
        <v/>
      </c>
      <c r="AU1261" t="inlineStr">
        <is>
          <t>405799:eng</t>
        </is>
      </c>
      <c r="AV1261" t="inlineStr">
        <is>
          <t>1288446</t>
        </is>
      </c>
      <c r="AW1261" t="inlineStr">
        <is>
          <t>991003671049702656</t>
        </is>
      </c>
      <c r="AX1261" t="inlineStr">
        <is>
          <t>991003671049702656</t>
        </is>
      </c>
      <c r="AY1261" t="inlineStr">
        <is>
          <t>2266964870002656</t>
        </is>
      </c>
      <c r="AZ1261" t="inlineStr">
        <is>
          <t>BOOK</t>
        </is>
      </c>
      <c r="BB1261" t="inlineStr">
        <is>
          <t>9780070378247</t>
        </is>
      </c>
      <c r="BC1261" t="inlineStr">
        <is>
          <t>32285003156626</t>
        </is>
      </c>
      <c r="BD1261" t="inlineStr">
        <is>
          <t>893252611</t>
        </is>
      </c>
    </row>
    <row r="1262">
      <c r="A1262" t="inlineStr">
        <is>
          <t>No</t>
        </is>
      </c>
      <c r="B1262" t="inlineStr">
        <is>
          <t>HV875 .L56</t>
        </is>
      </c>
      <c r="C1262" t="inlineStr">
        <is>
          <t>0                      HV 0875000L  56</t>
        </is>
      </c>
      <c r="D1262" t="inlineStr">
        <is>
          <t>Adopting a child / by Frances Lockridge, with the assistance of Sophie van S. Theis.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Lockridge, Frances Louise Davis.</t>
        </is>
      </c>
      <c r="L1262" t="inlineStr">
        <is>
          <t>New York : Greenberg, [1948]</t>
        </is>
      </c>
      <c r="M1262" t="inlineStr">
        <is>
          <t>1948</t>
        </is>
      </c>
      <c r="N1262" t="inlineStr">
        <is>
          <t>[Rev. and enl. ed.]</t>
        </is>
      </c>
      <c r="O1262" t="inlineStr">
        <is>
          <t>eng</t>
        </is>
      </c>
      <c r="P1262" t="inlineStr">
        <is>
          <t>nyu</t>
        </is>
      </c>
      <c r="R1262" t="inlineStr">
        <is>
          <t xml:space="preserve">HV </t>
        </is>
      </c>
      <c r="S1262" t="n">
        <v>6</v>
      </c>
      <c r="T1262" t="n">
        <v>6</v>
      </c>
      <c r="U1262" t="inlineStr">
        <is>
          <t>2002-11-04</t>
        </is>
      </c>
      <c r="V1262" t="inlineStr">
        <is>
          <t>2002-11-04</t>
        </is>
      </c>
      <c r="W1262" t="inlineStr">
        <is>
          <t>1993-12-22</t>
        </is>
      </c>
      <c r="X1262" t="inlineStr">
        <is>
          <t>1993-12-22</t>
        </is>
      </c>
      <c r="Y1262" t="n">
        <v>50</v>
      </c>
      <c r="Z1262" t="n">
        <v>47</v>
      </c>
      <c r="AA1262" t="n">
        <v>139</v>
      </c>
      <c r="AB1262" t="n">
        <v>2</v>
      </c>
      <c r="AC1262" t="n">
        <v>2</v>
      </c>
      <c r="AD1262" t="n">
        <v>6</v>
      </c>
      <c r="AE1262" t="n">
        <v>9</v>
      </c>
      <c r="AF1262" t="n">
        <v>3</v>
      </c>
      <c r="AG1262" t="n">
        <v>4</v>
      </c>
      <c r="AH1262" t="n">
        <v>1</v>
      </c>
      <c r="AI1262" t="n">
        <v>1</v>
      </c>
      <c r="AJ1262" t="n">
        <v>2</v>
      </c>
      <c r="AK1262" t="n">
        <v>4</v>
      </c>
      <c r="AL1262" t="n">
        <v>1</v>
      </c>
      <c r="AM1262" t="n">
        <v>1</v>
      </c>
      <c r="AN1262" t="n">
        <v>1</v>
      </c>
      <c r="AO1262" t="n">
        <v>1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HYPERLINK("http://catalog.hathitrust.org/Record/001132721","HathiTrust Record")</f>
        <v/>
      </c>
      <c r="AS1262">
        <f>HYPERLINK("https://creighton-primo.hosted.exlibrisgroup.com/primo-explore/search?tab=default_tab&amp;search_scope=EVERYTHING&amp;vid=01CRU&amp;lang=en_US&amp;offset=0&amp;query=any,contains,991003854849702656","Catalog Record")</f>
        <v/>
      </c>
      <c r="AT1262">
        <f>HYPERLINK("http://www.worldcat.org/oclc/1652062","WorldCat Record")</f>
        <v/>
      </c>
      <c r="AU1262" t="inlineStr">
        <is>
          <t>2443351:eng</t>
        </is>
      </c>
      <c r="AV1262" t="inlineStr">
        <is>
          <t>1652062</t>
        </is>
      </c>
      <c r="AW1262" t="inlineStr">
        <is>
          <t>991003854849702656</t>
        </is>
      </c>
      <c r="AX1262" t="inlineStr">
        <is>
          <t>991003854849702656</t>
        </is>
      </c>
      <c r="AY1262" t="inlineStr">
        <is>
          <t>2271761640002656</t>
        </is>
      </c>
      <c r="AZ1262" t="inlineStr">
        <is>
          <t>BOOK</t>
        </is>
      </c>
      <c r="BC1262" t="inlineStr">
        <is>
          <t>32285001827061</t>
        </is>
      </c>
      <c r="BD1262" t="inlineStr">
        <is>
          <t>893258975</t>
        </is>
      </c>
    </row>
    <row r="1263">
      <c r="A1263" t="inlineStr">
        <is>
          <t>No</t>
        </is>
      </c>
      <c r="B1263" t="inlineStr">
        <is>
          <t>HV875 .N55 1979</t>
        </is>
      </c>
      <c r="C1263" t="inlineStr">
        <is>
          <t>0                      HV 0875000N  55          1979</t>
        </is>
      </c>
      <c r="D1263" t="inlineStr">
        <is>
          <t>No child is unadoptable : a reader on adoption of children with special needs / edited by Sallie R. Churchill, Bonnie Carlson, and Lynn Nybell.</t>
        </is>
      </c>
      <c r="F1263" t="inlineStr">
        <is>
          <t>No</t>
        </is>
      </c>
      <c r="G1263" t="inlineStr">
        <is>
          <t>1</t>
        </is>
      </c>
      <c r="H1263" t="inlineStr">
        <is>
          <t>Yes</t>
        </is>
      </c>
      <c r="I1263" t="inlineStr">
        <is>
          <t>No</t>
        </is>
      </c>
      <c r="J1263" t="inlineStr">
        <is>
          <t>0</t>
        </is>
      </c>
      <c r="L1263" t="inlineStr">
        <is>
          <t>Beverly Hills : Sage Publications, c1979.</t>
        </is>
      </c>
      <c r="M1263" t="inlineStr">
        <is>
          <t>1979</t>
        </is>
      </c>
      <c r="O1263" t="inlineStr">
        <is>
          <t>eng</t>
        </is>
      </c>
      <c r="P1263" t="inlineStr">
        <is>
          <t>cau</t>
        </is>
      </c>
      <c r="Q1263" t="inlineStr">
        <is>
          <t>Sage human services guides ; v. 8</t>
        </is>
      </c>
      <c r="R1263" t="inlineStr">
        <is>
          <t xml:space="preserve">HV </t>
        </is>
      </c>
      <c r="S1263" t="n">
        <v>20</v>
      </c>
      <c r="T1263" t="n">
        <v>21</v>
      </c>
      <c r="U1263" t="inlineStr">
        <is>
          <t>2003-04-13</t>
        </is>
      </c>
      <c r="V1263" t="inlineStr">
        <is>
          <t>2003-04-13</t>
        </is>
      </c>
      <c r="W1263" t="inlineStr">
        <is>
          <t>1991-10-28</t>
        </is>
      </c>
      <c r="X1263" t="inlineStr">
        <is>
          <t>1991-10-28</t>
        </is>
      </c>
      <c r="Y1263" t="n">
        <v>330</v>
      </c>
      <c r="Z1263" t="n">
        <v>263</v>
      </c>
      <c r="AA1263" t="n">
        <v>270</v>
      </c>
      <c r="AB1263" t="n">
        <v>4</v>
      </c>
      <c r="AC1263" t="n">
        <v>4</v>
      </c>
      <c r="AD1263" t="n">
        <v>12</v>
      </c>
      <c r="AE1263" t="n">
        <v>12</v>
      </c>
      <c r="AF1263" t="n">
        <v>6</v>
      </c>
      <c r="AG1263" t="n">
        <v>6</v>
      </c>
      <c r="AH1263" t="n">
        <v>3</v>
      </c>
      <c r="AI1263" t="n">
        <v>3</v>
      </c>
      <c r="AJ1263" t="n">
        <v>6</v>
      </c>
      <c r="AK1263" t="n">
        <v>6</v>
      </c>
      <c r="AL1263" t="n">
        <v>2</v>
      </c>
      <c r="AM1263" t="n">
        <v>2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HYPERLINK("http://catalog.hathitrust.org/Record/000255796","HathiTrust Record")</f>
        <v/>
      </c>
      <c r="AS1263">
        <f>HYPERLINK("https://creighton-primo.hosted.exlibrisgroup.com/primo-explore/search?tab=default_tab&amp;search_scope=EVERYTHING&amp;vid=01CRU&amp;lang=en_US&amp;offset=0&amp;query=any,contains,991001767009702656","Catalog Record")</f>
        <v/>
      </c>
      <c r="AT1263">
        <f>HYPERLINK("http://www.worldcat.org/oclc/4493629","WorldCat Record")</f>
        <v/>
      </c>
      <c r="AU1263" t="inlineStr">
        <is>
          <t>836725249:eng</t>
        </is>
      </c>
      <c r="AV1263" t="inlineStr">
        <is>
          <t>4493629</t>
        </is>
      </c>
      <c r="AW1263" t="inlineStr">
        <is>
          <t>991001767009702656</t>
        </is>
      </c>
      <c r="AX1263" t="inlineStr">
        <is>
          <t>991001767009702656</t>
        </is>
      </c>
      <c r="AY1263" t="inlineStr">
        <is>
          <t>2260907930002656</t>
        </is>
      </c>
      <c r="AZ1263" t="inlineStr">
        <is>
          <t>BOOK</t>
        </is>
      </c>
      <c r="BB1263" t="inlineStr">
        <is>
          <t>9780803912151</t>
        </is>
      </c>
      <c r="BC1263" t="inlineStr">
        <is>
          <t>32285000801661</t>
        </is>
      </c>
      <c r="BD1263" t="inlineStr">
        <is>
          <t>893328356</t>
        </is>
      </c>
    </row>
    <row r="1264">
      <c r="A1264" t="inlineStr">
        <is>
          <t>No</t>
        </is>
      </c>
      <c r="B1264" t="inlineStr">
        <is>
          <t>HV875 .S562</t>
        </is>
      </c>
      <c r="C1264" t="inlineStr">
        <is>
          <t>0                      HV 0875000S  562</t>
        </is>
      </c>
      <c r="D1264" t="inlineStr">
        <is>
          <t>Transracial adoption, a follow-up / Rita J. Simon, Howard Altstein.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K1264" t="inlineStr">
        <is>
          <t>Simon, Rita J. (Rita James), 1931-2013.</t>
        </is>
      </c>
      <c r="L1264" t="inlineStr">
        <is>
          <t>Lexington, Mass. : Lexington Books, c1981.</t>
        </is>
      </c>
      <c r="M1264" t="inlineStr">
        <is>
          <t>1981</t>
        </is>
      </c>
      <c r="O1264" t="inlineStr">
        <is>
          <t>eng</t>
        </is>
      </c>
      <c r="P1264" t="inlineStr">
        <is>
          <t>mau</t>
        </is>
      </c>
      <c r="R1264" t="inlineStr">
        <is>
          <t xml:space="preserve">HV </t>
        </is>
      </c>
      <c r="S1264" t="n">
        <v>11</v>
      </c>
      <c r="T1264" t="n">
        <v>11</v>
      </c>
      <c r="U1264" t="inlineStr">
        <is>
          <t>1998-01-28</t>
        </is>
      </c>
      <c r="V1264" t="inlineStr">
        <is>
          <t>1998-01-28</t>
        </is>
      </c>
      <c r="W1264" t="inlineStr">
        <is>
          <t>1992-03-03</t>
        </is>
      </c>
      <c r="X1264" t="inlineStr">
        <is>
          <t>1992-03-03</t>
        </is>
      </c>
      <c r="Y1264" t="n">
        <v>304</v>
      </c>
      <c r="Z1264" t="n">
        <v>262</v>
      </c>
      <c r="AA1264" t="n">
        <v>495</v>
      </c>
      <c r="AB1264" t="n">
        <v>2</v>
      </c>
      <c r="AC1264" t="n">
        <v>4</v>
      </c>
      <c r="AD1264" t="n">
        <v>7</v>
      </c>
      <c r="AE1264" t="n">
        <v>20</v>
      </c>
      <c r="AF1264" t="n">
        <v>2</v>
      </c>
      <c r="AG1264" t="n">
        <v>5</v>
      </c>
      <c r="AH1264" t="n">
        <v>2</v>
      </c>
      <c r="AI1264" t="n">
        <v>5</v>
      </c>
      <c r="AJ1264" t="n">
        <v>3</v>
      </c>
      <c r="AK1264" t="n">
        <v>10</v>
      </c>
      <c r="AL1264" t="n">
        <v>1</v>
      </c>
      <c r="AM1264" t="n">
        <v>3</v>
      </c>
      <c r="AN1264" t="n">
        <v>0</v>
      </c>
      <c r="AO1264" t="n">
        <v>1</v>
      </c>
      <c r="AP1264" t="inlineStr">
        <is>
          <t>No</t>
        </is>
      </c>
      <c r="AQ1264" t="inlineStr">
        <is>
          <t>No</t>
        </is>
      </c>
      <c r="AS1264">
        <f>HYPERLINK("https://creighton-primo.hosted.exlibrisgroup.com/primo-explore/search?tab=default_tab&amp;search_scope=EVERYTHING&amp;vid=01CRU&amp;lang=en_US&amp;offset=0&amp;query=any,contains,991005105119702656","Catalog Record")</f>
        <v/>
      </c>
      <c r="AT1264">
        <f>HYPERLINK("http://www.worldcat.org/oclc/7328492","WorldCat Record")</f>
        <v/>
      </c>
      <c r="AU1264" t="inlineStr">
        <is>
          <t>155842612:eng</t>
        </is>
      </c>
      <c r="AV1264" t="inlineStr">
        <is>
          <t>7328492</t>
        </is>
      </c>
      <c r="AW1264" t="inlineStr">
        <is>
          <t>991005105119702656</t>
        </is>
      </c>
      <c r="AX1264" t="inlineStr">
        <is>
          <t>991005105119702656</t>
        </is>
      </c>
      <c r="AY1264" t="inlineStr">
        <is>
          <t>2272613070002656</t>
        </is>
      </c>
      <c r="AZ1264" t="inlineStr">
        <is>
          <t>BOOK</t>
        </is>
      </c>
      <c r="BB1264" t="inlineStr">
        <is>
          <t>9780669043570</t>
        </is>
      </c>
      <c r="BC1264" t="inlineStr">
        <is>
          <t>32285000991157</t>
        </is>
      </c>
      <c r="BD1264" t="inlineStr">
        <is>
          <t>893350721</t>
        </is>
      </c>
    </row>
    <row r="1265">
      <c r="A1265" t="inlineStr">
        <is>
          <t>No</t>
        </is>
      </c>
      <c r="B1265" t="inlineStr">
        <is>
          <t>HV875 .S655</t>
        </is>
      </c>
      <c r="C1265" t="inlineStr">
        <is>
          <t>0                      HV 0875000S  655</t>
        </is>
      </c>
      <c r="D1265" t="inlineStr">
        <is>
          <t>The adoption triangle : the effects of the sealed record on adoptees, birth parents, and adoptive parents / Arthur D. Sorosky, Annette Baran, Reuben Pannor.</t>
        </is>
      </c>
      <c r="F1265" t="inlineStr">
        <is>
          <t>No</t>
        </is>
      </c>
      <c r="G1265" t="inlineStr">
        <is>
          <t>1</t>
        </is>
      </c>
      <c r="H1265" t="inlineStr">
        <is>
          <t>Yes</t>
        </is>
      </c>
      <c r="I1265" t="inlineStr">
        <is>
          <t>No</t>
        </is>
      </c>
      <c r="J1265" t="inlineStr">
        <is>
          <t>0</t>
        </is>
      </c>
      <c r="K1265" t="inlineStr">
        <is>
          <t>Sorosky, Arthur D.</t>
        </is>
      </c>
      <c r="L1265" t="inlineStr">
        <is>
          <t>Garden City, N.Y. : Anchor Press, 1978.</t>
        </is>
      </c>
      <c r="M1265" t="inlineStr">
        <is>
          <t>1978</t>
        </is>
      </c>
      <c r="N1265" t="inlineStr">
        <is>
          <t>1st ed.</t>
        </is>
      </c>
      <c r="O1265" t="inlineStr">
        <is>
          <t>eng</t>
        </is>
      </c>
      <c r="P1265" t="inlineStr">
        <is>
          <t>nyu</t>
        </is>
      </c>
      <c r="R1265" t="inlineStr">
        <is>
          <t xml:space="preserve">HV </t>
        </is>
      </c>
      <c r="S1265" t="n">
        <v>19</v>
      </c>
      <c r="T1265" t="n">
        <v>31</v>
      </c>
      <c r="U1265" t="inlineStr">
        <is>
          <t>2001-05-15</t>
        </is>
      </c>
      <c r="V1265" t="inlineStr">
        <is>
          <t>2001-05-15</t>
        </is>
      </c>
      <c r="W1265" t="inlineStr">
        <is>
          <t>1991-12-23</t>
        </is>
      </c>
      <c r="X1265" t="inlineStr">
        <is>
          <t>1991-12-23</t>
        </is>
      </c>
      <c r="Y1265" t="n">
        <v>942</v>
      </c>
      <c r="Z1265" t="n">
        <v>855</v>
      </c>
      <c r="AA1265" t="n">
        <v>1078</v>
      </c>
      <c r="AB1265" t="n">
        <v>8</v>
      </c>
      <c r="AC1265" t="n">
        <v>9</v>
      </c>
      <c r="AD1265" t="n">
        <v>30</v>
      </c>
      <c r="AE1265" t="n">
        <v>35</v>
      </c>
      <c r="AF1265" t="n">
        <v>7</v>
      </c>
      <c r="AG1265" t="n">
        <v>9</v>
      </c>
      <c r="AH1265" t="n">
        <v>3</v>
      </c>
      <c r="AI1265" t="n">
        <v>3</v>
      </c>
      <c r="AJ1265" t="n">
        <v>9</v>
      </c>
      <c r="AK1265" t="n">
        <v>12</v>
      </c>
      <c r="AL1265" t="n">
        <v>4</v>
      </c>
      <c r="AM1265" t="n">
        <v>4</v>
      </c>
      <c r="AN1265" t="n">
        <v>10</v>
      </c>
      <c r="AO1265" t="n">
        <v>11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HYPERLINK("https://creighton-primo.hosted.exlibrisgroup.com/primo-explore/search?tab=default_tab&amp;search_scope=EVERYTHING&amp;vid=01CRU&amp;lang=en_US&amp;offset=0&amp;query=any,contains,991001782979702656","Catalog Record")</f>
        <v/>
      </c>
      <c r="AT1265">
        <f>HYPERLINK("http://www.worldcat.org/oclc/3415361","WorldCat Record")</f>
        <v/>
      </c>
      <c r="AU1265" t="inlineStr">
        <is>
          <t>3502307:eng</t>
        </is>
      </c>
      <c r="AV1265" t="inlineStr">
        <is>
          <t>3415361</t>
        </is>
      </c>
      <c r="AW1265" t="inlineStr">
        <is>
          <t>991001782979702656</t>
        </is>
      </c>
      <c r="AX1265" t="inlineStr">
        <is>
          <t>991001782979702656</t>
        </is>
      </c>
      <c r="AY1265" t="inlineStr">
        <is>
          <t>2260336530002656</t>
        </is>
      </c>
      <c r="AZ1265" t="inlineStr">
        <is>
          <t>BOOK</t>
        </is>
      </c>
      <c r="BB1265" t="inlineStr">
        <is>
          <t>9780385128711</t>
        </is>
      </c>
      <c r="BC1265" t="inlineStr">
        <is>
          <t>32285000881150</t>
        </is>
      </c>
      <c r="BD1265" t="inlineStr">
        <is>
          <t>893426859</t>
        </is>
      </c>
    </row>
    <row r="1266">
      <c r="A1266" t="inlineStr">
        <is>
          <t>No</t>
        </is>
      </c>
      <c r="B1266" t="inlineStr">
        <is>
          <t>HV875 .T59 1978</t>
        </is>
      </c>
      <c r="C1266" t="inlineStr">
        <is>
          <t>0                      HV 0875000T  59          1978</t>
        </is>
      </c>
      <c r="D1266" t="inlineStr">
        <is>
          <t>Adoption : a second chance / Barbara Tizard. --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Tizard, Barbara.</t>
        </is>
      </c>
      <c r="L1266" t="inlineStr">
        <is>
          <t>New York : Free Press, 1978, c1977.</t>
        </is>
      </c>
      <c r="M1266" t="inlineStr">
        <is>
          <t>1978</t>
        </is>
      </c>
      <c r="N1266" t="inlineStr">
        <is>
          <t>1st American ed.</t>
        </is>
      </c>
      <c r="O1266" t="inlineStr">
        <is>
          <t>eng</t>
        </is>
      </c>
      <c r="P1266" t="inlineStr">
        <is>
          <t>nyu</t>
        </is>
      </c>
      <c r="R1266" t="inlineStr">
        <is>
          <t xml:space="preserve">HV </t>
        </is>
      </c>
      <c r="S1266" t="n">
        <v>19</v>
      </c>
      <c r="T1266" t="n">
        <v>19</v>
      </c>
      <c r="U1266" t="inlineStr">
        <is>
          <t>2004-04-05</t>
        </is>
      </c>
      <c r="V1266" t="inlineStr">
        <is>
          <t>2004-04-05</t>
        </is>
      </c>
      <c r="W1266" t="inlineStr">
        <is>
          <t>1991-12-23</t>
        </is>
      </c>
      <c r="X1266" t="inlineStr">
        <is>
          <t>1991-12-23</t>
        </is>
      </c>
      <c r="Y1266" t="n">
        <v>362</v>
      </c>
      <c r="Z1266" t="n">
        <v>337</v>
      </c>
      <c r="AA1266" t="n">
        <v>399</v>
      </c>
      <c r="AB1266" t="n">
        <v>2</v>
      </c>
      <c r="AC1266" t="n">
        <v>3</v>
      </c>
      <c r="AD1266" t="n">
        <v>11</v>
      </c>
      <c r="AE1266" t="n">
        <v>14</v>
      </c>
      <c r="AF1266" t="n">
        <v>4</v>
      </c>
      <c r="AG1266" t="n">
        <v>5</v>
      </c>
      <c r="AH1266" t="n">
        <v>4</v>
      </c>
      <c r="AI1266" t="n">
        <v>4</v>
      </c>
      <c r="AJ1266" t="n">
        <v>4</v>
      </c>
      <c r="AK1266" t="n">
        <v>6</v>
      </c>
      <c r="AL1266" t="n">
        <v>1</v>
      </c>
      <c r="AM1266" t="n">
        <v>2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Yes</t>
        </is>
      </c>
      <c r="AR1266">
        <f>HYPERLINK("http://catalog.hathitrust.org/Record/005039208","HathiTrust Record")</f>
        <v/>
      </c>
      <c r="AS1266">
        <f>HYPERLINK("https://creighton-primo.hosted.exlibrisgroup.com/primo-explore/search?tab=default_tab&amp;search_scope=EVERYTHING&amp;vid=01CRU&amp;lang=en_US&amp;offset=0&amp;query=any,contains,991004392419702656","Catalog Record")</f>
        <v/>
      </c>
      <c r="AT1266">
        <f>HYPERLINK("http://www.worldcat.org/oclc/3272769","WorldCat Record")</f>
        <v/>
      </c>
      <c r="AU1266" t="inlineStr">
        <is>
          <t>400845:eng</t>
        </is>
      </c>
      <c r="AV1266" t="inlineStr">
        <is>
          <t>3272769</t>
        </is>
      </c>
      <c r="AW1266" t="inlineStr">
        <is>
          <t>991004392419702656</t>
        </is>
      </c>
      <c r="AX1266" t="inlineStr">
        <is>
          <t>991004392419702656</t>
        </is>
      </c>
      <c r="AY1266" t="inlineStr">
        <is>
          <t>2263786140002656</t>
        </is>
      </c>
      <c r="AZ1266" t="inlineStr">
        <is>
          <t>BOOK</t>
        </is>
      </c>
      <c r="BB1266" t="inlineStr">
        <is>
          <t>9780029326107</t>
        </is>
      </c>
      <c r="BC1266" t="inlineStr">
        <is>
          <t>32285000881135</t>
        </is>
      </c>
      <c r="BD1266" t="inlineStr">
        <is>
          <t>893411470</t>
        </is>
      </c>
    </row>
    <row r="1267">
      <c r="A1267" t="inlineStr">
        <is>
          <t>No</t>
        </is>
      </c>
      <c r="B1267" t="inlineStr">
        <is>
          <t>HV875 .Z37</t>
        </is>
      </c>
      <c r="C1267" t="inlineStr">
        <is>
          <t>0                      HV 0875000Z  37</t>
        </is>
      </c>
      <c r="D1267" t="inlineStr">
        <is>
          <t>Outcome of Black children-White parents transracial adoptions / Charles H. Zastrow.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Zastrow, Charles.</t>
        </is>
      </c>
      <c r="L1267" t="inlineStr">
        <is>
          <t>San Francisco : R &amp; E Research Associates, 1977.</t>
        </is>
      </c>
      <c r="M1267" t="inlineStr">
        <is>
          <t>1977</t>
        </is>
      </c>
      <c r="O1267" t="inlineStr">
        <is>
          <t>eng</t>
        </is>
      </c>
      <c r="P1267" t="inlineStr">
        <is>
          <t>cau</t>
        </is>
      </c>
      <c r="R1267" t="inlineStr">
        <is>
          <t xml:space="preserve">HV </t>
        </is>
      </c>
      <c r="S1267" t="n">
        <v>18</v>
      </c>
      <c r="T1267" t="n">
        <v>18</v>
      </c>
      <c r="U1267" t="inlineStr">
        <is>
          <t>2003-11-25</t>
        </is>
      </c>
      <c r="V1267" t="inlineStr">
        <is>
          <t>2003-11-25</t>
        </is>
      </c>
      <c r="W1267" t="inlineStr">
        <is>
          <t>1992-04-07</t>
        </is>
      </c>
      <c r="X1267" t="inlineStr">
        <is>
          <t>1992-04-07</t>
        </is>
      </c>
      <c r="Y1267" t="n">
        <v>356</v>
      </c>
      <c r="Z1267" t="n">
        <v>333</v>
      </c>
      <c r="AA1267" t="n">
        <v>335</v>
      </c>
      <c r="AB1267" t="n">
        <v>6</v>
      </c>
      <c r="AC1267" t="n">
        <v>6</v>
      </c>
      <c r="AD1267" t="n">
        <v>14</v>
      </c>
      <c r="AE1267" t="n">
        <v>14</v>
      </c>
      <c r="AF1267" t="n">
        <v>2</v>
      </c>
      <c r="AG1267" t="n">
        <v>2</v>
      </c>
      <c r="AH1267" t="n">
        <v>5</v>
      </c>
      <c r="AI1267" t="n">
        <v>5</v>
      </c>
      <c r="AJ1267" t="n">
        <v>6</v>
      </c>
      <c r="AK1267" t="n">
        <v>6</v>
      </c>
      <c r="AL1267" t="n">
        <v>4</v>
      </c>
      <c r="AM1267" t="n">
        <v>4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No</t>
        </is>
      </c>
      <c r="AS1267">
        <f>HYPERLINK("https://creighton-primo.hosted.exlibrisgroup.com/primo-explore/search?tab=default_tab&amp;search_scope=EVERYTHING&amp;vid=01CRU&amp;lang=en_US&amp;offset=0&amp;query=any,contains,991004399449702656","Catalog Record")</f>
        <v/>
      </c>
      <c r="AT1267">
        <f>HYPERLINK("http://www.worldcat.org/oclc/3294422","WorldCat Record")</f>
        <v/>
      </c>
      <c r="AU1267" t="inlineStr">
        <is>
          <t>9669440:eng</t>
        </is>
      </c>
      <c r="AV1267" t="inlineStr">
        <is>
          <t>3294422</t>
        </is>
      </c>
      <c r="AW1267" t="inlineStr">
        <is>
          <t>991004399449702656</t>
        </is>
      </c>
      <c r="AX1267" t="inlineStr">
        <is>
          <t>991004399449702656</t>
        </is>
      </c>
      <c r="AY1267" t="inlineStr">
        <is>
          <t>2257133810002656</t>
        </is>
      </c>
      <c r="AZ1267" t="inlineStr">
        <is>
          <t>BOOK</t>
        </is>
      </c>
      <c r="BB1267" t="inlineStr">
        <is>
          <t>9780882474564</t>
        </is>
      </c>
      <c r="BC1267" t="inlineStr">
        <is>
          <t>32285001035111</t>
        </is>
      </c>
      <c r="BD1267" t="inlineStr">
        <is>
          <t>893535960</t>
        </is>
      </c>
    </row>
    <row r="1268">
      <c r="A1268" t="inlineStr">
        <is>
          <t>No</t>
        </is>
      </c>
      <c r="B1268" t="inlineStr">
        <is>
          <t>HV875.5 .W57 1993</t>
        </is>
      </c>
      <c r="C1268" t="inlineStr">
        <is>
          <t>0                      HV 0875500W  57          1993</t>
        </is>
      </c>
      <c r="D1268" t="inlineStr">
        <is>
          <t>How to adopt a child from another country / Eileen M. Wirth &amp; Joan Worden.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Wirth, Eileen M., 1947-</t>
        </is>
      </c>
      <c r="L1268" t="inlineStr">
        <is>
          <t>Nashville : Abingdon Press, 1993.</t>
        </is>
      </c>
      <c r="M1268" t="inlineStr">
        <is>
          <t>1993</t>
        </is>
      </c>
      <c r="O1268" t="inlineStr">
        <is>
          <t>eng</t>
        </is>
      </c>
      <c r="P1268" t="inlineStr">
        <is>
          <t>tnu</t>
        </is>
      </c>
      <c r="R1268" t="inlineStr">
        <is>
          <t xml:space="preserve">HV </t>
        </is>
      </c>
      <c r="S1268" t="n">
        <v>27</v>
      </c>
      <c r="T1268" t="n">
        <v>27</v>
      </c>
      <c r="U1268" t="inlineStr">
        <is>
          <t>2007-03-11</t>
        </is>
      </c>
      <c r="V1268" t="inlineStr">
        <is>
          <t>2007-03-11</t>
        </is>
      </c>
      <c r="W1268" t="inlineStr">
        <is>
          <t>1993-05-19</t>
        </is>
      </c>
      <c r="X1268" t="inlineStr">
        <is>
          <t>1993-05-19</t>
        </is>
      </c>
      <c r="Y1268" t="n">
        <v>117</v>
      </c>
      <c r="Z1268" t="n">
        <v>113</v>
      </c>
      <c r="AA1268" t="n">
        <v>115</v>
      </c>
      <c r="AB1268" t="n">
        <v>4</v>
      </c>
      <c r="AC1268" t="n">
        <v>4</v>
      </c>
      <c r="AD1268" t="n">
        <v>5</v>
      </c>
      <c r="AE1268" t="n">
        <v>5</v>
      </c>
      <c r="AF1268" t="n">
        <v>0</v>
      </c>
      <c r="AG1268" t="n">
        <v>0</v>
      </c>
      <c r="AH1268" t="n">
        <v>1</v>
      </c>
      <c r="AI1268" t="n">
        <v>1</v>
      </c>
      <c r="AJ1268" t="n">
        <v>2</v>
      </c>
      <c r="AK1268" t="n">
        <v>2</v>
      </c>
      <c r="AL1268" t="n">
        <v>2</v>
      </c>
      <c r="AM1268" t="n">
        <v>2</v>
      </c>
      <c r="AN1268" t="n">
        <v>1</v>
      </c>
      <c r="AO1268" t="n">
        <v>1</v>
      </c>
      <c r="AP1268" t="inlineStr">
        <is>
          <t>No</t>
        </is>
      </c>
      <c r="AQ1268" t="inlineStr">
        <is>
          <t>Yes</t>
        </is>
      </c>
      <c r="AR1268">
        <f>HYPERLINK("http://catalog.hathitrust.org/Record/003443624","HathiTrust Record")</f>
        <v/>
      </c>
      <c r="AS1268">
        <f>HYPERLINK("https://creighton-primo.hosted.exlibrisgroup.com/primo-explore/search?tab=default_tab&amp;search_scope=EVERYTHING&amp;vid=01CRU&amp;lang=en_US&amp;offset=0&amp;query=any,contains,991002020439702656","Catalog Record")</f>
        <v/>
      </c>
      <c r="AT1268">
        <f>HYPERLINK("http://www.worldcat.org/oclc/25707418","WorldCat Record")</f>
        <v/>
      </c>
      <c r="AU1268" t="inlineStr">
        <is>
          <t>28466844:eng</t>
        </is>
      </c>
      <c r="AV1268" t="inlineStr">
        <is>
          <t>25707418</t>
        </is>
      </c>
      <c r="AW1268" t="inlineStr">
        <is>
          <t>991002020439702656</t>
        </is>
      </c>
      <c r="AX1268" t="inlineStr">
        <is>
          <t>991002020439702656</t>
        </is>
      </c>
      <c r="AY1268" t="inlineStr">
        <is>
          <t>2260834430002656</t>
        </is>
      </c>
      <c r="AZ1268" t="inlineStr">
        <is>
          <t>BOOK</t>
        </is>
      </c>
      <c r="BB1268" t="inlineStr">
        <is>
          <t>9780687007721</t>
        </is>
      </c>
      <c r="BC1268" t="inlineStr">
        <is>
          <t>32285001582138</t>
        </is>
      </c>
      <c r="BD1268" t="inlineStr">
        <is>
          <t>893516803</t>
        </is>
      </c>
    </row>
    <row r="1269">
      <c r="A1269" t="inlineStr">
        <is>
          <t>No</t>
        </is>
      </c>
      <c r="B1269" t="inlineStr">
        <is>
          <t>HV875.55 .B37 1988</t>
        </is>
      </c>
      <c r="C1269" t="inlineStr">
        <is>
          <t>0                      HV 0875550B  37          1988</t>
        </is>
      </c>
      <c r="D1269" t="inlineStr">
        <is>
          <t>Adoption and disruption : rates, risks, and responses / Richard P. Barth, Marianne Berry.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Barth, Richard P., 1952-</t>
        </is>
      </c>
      <c r="L1269" t="inlineStr">
        <is>
          <t>New York : A. de Gruyter, c1988.</t>
        </is>
      </c>
      <c r="M1269" t="inlineStr">
        <is>
          <t>1988</t>
        </is>
      </c>
      <c r="O1269" t="inlineStr">
        <is>
          <t>eng</t>
        </is>
      </c>
      <c r="P1269" t="inlineStr">
        <is>
          <t>nyu</t>
        </is>
      </c>
      <c r="Q1269" t="inlineStr">
        <is>
          <t>Modern applications of social work</t>
        </is>
      </c>
      <c r="R1269" t="inlineStr">
        <is>
          <t xml:space="preserve">HV </t>
        </is>
      </c>
      <c r="S1269" t="n">
        <v>58</v>
      </c>
      <c r="T1269" t="n">
        <v>58</v>
      </c>
      <c r="U1269" t="inlineStr">
        <is>
          <t>2008-12-07</t>
        </is>
      </c>
      <c r="V1269" t="inlineStr">
        <is>
          <t>2008-12-07</t>
        </is>
      </c>
      <c r="W1269" t="inlineStr">
        <is>
          <t>1990-01-14</t>
        </is>
      </c>
      <c r="X1269" t="inlineStr">
        <is>
          <t>1990-01-14</t>
        </is>
      </c>
      <c r="Y1269" t="n">
        <v>549</v>
      </c>
      <c r="Z1269" t="n">
        <v>460</v>
      </c>
      <c r="AA1269" t="n">
        <v>483</v>
      </c>
      <c r="AB1269" t="n">
        <v>5</v>
      </c>
      <c r="AC1269" t="n">
        <v>5</v>
      </c>
      <c r="AD1269" t="n">
        <v>21</v>
      </c>
      <c r="AE1269" t="n">
        <v>21</v>
      </c>
      <c r="AF1269" t="n">
        <v>6</v>
      </c>
      <c r="AG1269" t="n">
        <v>6</v>
      </c>
      <c r="AH1269" t="n">
        <v>6</v>
      </c>
      <c r="AI1269" t="n">
        <v>6</v>
      </c>
      <c r="AJ1269" t="n">
        <v>9</v>
      </c>
      <c r="AK1269" t="n">
        <v>9</v>
      </c>
      <c r="AL1269" t="n">
        <v>4</v>
      </c>
      <c r="AM1269" t="n">
        <v>4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No</t>
        </is>
      </c>
      <c r="AS1269">
        <f>HYPERLINK("https://creighton-primo.hosted.exlibrisgroup.com/primo-explore/search?tab=default_tab&amp;search_scope=EVERYTHING&amp;vid=01CRU&amp;lang=en_US&amp;offset=0&amp;query=any,contains,991001308249702656","Catalog Record")</f>
        <v/>
      </c>
      <c r="AT1269">
        <f>HYPERLINK("http://www.worldcat.org/oclc/18134537","WorldCat Record")</f>
        <v/>
      </c>
      <c r="AU1269" t="inlineStr">
        <is>
          <t>197356006:eng</t>
        </is>
      </c>
      <c r="AV1269" t="inlineStr">
        <is>
          <t>18134537</t>
        </is>
      </c>
      <c r="AW1269" t="inlineStr">
        <is>
          <t>991001308249702656</t>
        </is>
      </c>
      <c r="AX1269" t="inlineStr">
        <is>
          <t>991001308249702656</t>
        </is>
      </c>
      <c r="AY1269" t="inlineStr">
        <is>
          <t>2259847570002656</t>
        </is>
      </c>
      <c r="AZ1269" t="inlineStr">
        <is>
          <t>BOOK</t>
        </is>
      </c>
      <c r="BB1269" t="inlineStr">
        <is>
          <t>9780202360492</t>
        </is>
      </c>
      <c r="BC1269" t="inlineStr">
        <is>
          <t>32285000027358</t>
        </is>
      </c>
      <c r="BD1269" t="inlineStr">
        <is>
          <t>893809031</t>
        </is>
      </c>
    </row>
    <row r="1270">
      <c r="A1270" t="inlineStr">
        <is>
          <t>No</t>
        </is>
      </c>
      <c r="B1270" t="inlineStr">
        <is>
          <t>HV875.55 .C37 1990</t>
        </is>
      </c>
      <c r="C1270" t="inlineStr">
        <is>
          <t>0                      HV 0875550C  37          1990</t>
        </is>
      </c>
      <c r="D1270" t="inlineStr">
        <is>
          <t>An open adoption / by Lincoln Caplan.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Caplan, Lincoln.</t>
        </is>
      </c>
      <c r="L1270" t="inlineStr">
        <is>
          <t>New York : Farrar, Straus &amp; Giroux, 1990.</t>
        </is>
      </c>
      <c r="M1270" t="inlineStr">
        <is>
          <t>1990</t>
        </is>
      </c>
      <c r="N1270" t="inlineStr">
        <is>
          <t>1st ed.</t>
        </is>
      </c>
      <c r="O1270" t="inlineStr">
        <is>
          <t>eng</t>
        </is>
      </c>
      <c r="P1270" t="inlineStr">
        <is>
          <t>nyu</t>
        </is>
      </c>
      <c r="R1270" t="inlineStr">
        <is>
          <t xml:space="preserve">HV </t>
        </is>
      </c>
      <c r="S1270" t="n">
        <v>45</v>
      </c>
      <c r="T1270" t="n">
        <v>45</v>
      </c>
      <c r="U1270" t="inlineStr">
        <is>
          <t>2002-09-16</t>
        </is>
      </c>
      <c r="V1270" t="inlineStr">
        <is>
          <t>2002-09-16</t>
        </is>
      </c>
      <c r="W1270" t="inlineStr">
        <is>
          <t>1991-02-01</t>
        </is>
      </c>
      <c r="X1270" t="inlineStr">
        <is>
          <t>1991-02-01</t>
        </is>
      </c>
      <c r="Y1270" t="n">
        <v>588</v>
      </c>
      <c r="Z1270" t="n">
        <v>559</v>
      </c>
      <c r="AA1270" t="n">
        <v>597</v>
      </c>
      <c r="AB1270" t="n">
        <v>5</v>
      </c>
      <c r="AC1270" t="n">
        <v>5</v>
      </c>
      <c r="AD1270" t="n">
        <v>16</v>
      </c>
      <c r="AE1270" t="n">
        <v>17</v>
      </c>
      <c r="AF1270" t="n">
        <v>1</v>
      </c>
      <c r="AG1270" t="n">
        <v>2</v>
      </c>
      <c r="AH1270" t="n">
        <v>3</v>
      </c>
      <c r="AI1270" t="n">
        <v>3</v>
      </c>
      <c r="AJ1270" t="n">
        <v>5</v>
      </c>
      <c r="AK1270" t="n">
        <v>6</v>
      </c>
      <c r="AL1270" t="n">
        <v>1</v>
      </c>
      <c r="AM1270" t="n">
        <v>1</v>
      </c>
      <c r="AN1270" t="n">
        <v>7</v>
      </c>
      <c r="AO1270" t="n">
        <v>7</v>
      </c>
      <c r="AP1270" t="inlineStr">
        <is>
          <t>No</t>
        </is>
      </c>
      <c r="AQ1270" t="inlineStr">
        <is>
          <t>No</t>
        </is>
      </c>
      <c r="AS1270">
        <f>HYPERLINK("https://creighton-primo.hosted.exlibrisgroup.com/primo-explore/search?tab=default_tab&amp;search_scope=EVERYTHING&amp;vid=01CRU&amp;lang=en_US&amp;offset=0&amp;query=any,contains,991001612479702656","Catalog Record")</f>
        <v/>
      </c>
      <c r="AT1270">
        <f>HYPERLINK("http://www.worldcat.org/oclc/20754375","WorldCat Record")</f>
        <v/>
      </c>
      <c r="AU1270" t="inlineStr">
        <is>
          <t>22050407:eng</t>
        </is>
      </c>
      <c r="AV1270" t="inlineStr">
        <is>
          <t>20754375</t>
        </is>
      </c>
      <c r="AW1270" t="inlineStr">
        <is>
          <t>991001612479702656</t>
        </is>
      </c>
      <c r="AX1270" t="inlineStr">
        <is>
          <t>991001612479702656</t>
        </is>
      </c>
      <c r="AY1270" t="inlineStr">
        <is>
          <t>2264101600002656</t>
        </is>
      </c>
      <c r="AZ1270" t="inlineStr">
        <is>
          <t>BOOK</t>
        </is>
      </c>
      <c r="BB1270" t="inlineStr">
        <is>
          <t>9780374105587</t>
        </is>
      </c>
      <c r="BC1270" t="inlineStr">
        <is>
          <t>32285000463074</t>
        </is>
      </c>
      <c r="BD1270" t="inlineStr">
        <is>
          <t>893772694</t>
        </is>
      </c>
    </row>
    <row r="1271">
      <c r="A1271" t="inlineStr">
        <is>
          <t>No</t>
        </is>
      </c>
      <c r="B1271" t="inlineStr">
        <is>
          <t>HV875.55 .C38 1998</t>
        </is>
      </c>
      <c r="C1271" t="inlineStr">
        <is>
          <t>0                      HV 0875550C  38          1998</t>
        </is>
      </c>
      <c r="D1271" t="inlineStr">
        <is>
          <t>Family matters : secrecy and disclosure in the history of adoption / E. Wayne Carp.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K1271" t="inlineStr">
        <is>
          <t>Carp, E. Wayne, 1946-</t>
        </is>
      </c>
      <c r="L1271" t="inlineStr">
        <is>
          <t>Cambridge, Mass. : Harvard University Press, 1998.</t>
        </is>
      </c>
      <c r="M1271" t="inlineStr">
        <is>
          <t>1998</t>
        </is>
      </c>
      <c r="O1271" t="inlineStr">
        <is>
          <t>eng</t>
        </is>
      </c>
      <c r="P1271" t="inlineStr">
        <is>
          <t>mau</t>
        </is>
      </c>
      <c r="R1271" t="inlineStr">
        <is>
          <t xml:space="preserve">HV </t>
        </is>
      </c>
      <c r="S1271" t="n">
        <v>15</v>
      </c>
      <c r="T1271" t="n">
        <v>15</v>
      </c>
      <c r="U1271" t="inlineStr">
        <is>
          <t>2007-08-09</t>
        </is>
      </c>
      <c r="V1271" t="inlineStr">
        <is>
          <t>2007-08-09</t>
        </is>
      </c>
      <c r="W1271" t="inlineStr">
        <is>
          <t>1998-07-09</t>
        </is>
      </c>
      <c r="X1271" t="inlineStr">
        <is>
          <t>1998-07-09</t>
        </is>
      </c>
      <c r="Y1271" t="n">
        <v>1139</v>
      </c>
      <c r="Z1271" t="n">
        <v>1050</v>
      </c>
      <c r="AA1271" t="n">
        <v>1103</v>
      </c>
      <c r="AB1271" t="n">
        <v>9</v>
      </c>
      <c r="AC1271" t="n">
        <v>9</v>
      </c>
      <c r="AD1271" t="n">
        <v>53</v>
      </c>
      <c r="AE1271" t="n">
        <v>53</v>
      </c>
      <c r="AF1271" t="n">
        <v>17</v>
      </c>
      <c r="AG1271" t="n">
        <v>17</v>
      </c>
      <c r="AH1271" t="n">
        <v>10</v>
      </c>
      <c r="AI1271" t="n">
        <v>10</v>
      </c>
      <c r="AJ1271" t="n">
        <v>19</v>
      </c>
      <c r="AK1271" t="n">
        <v>19</v>
      </c>
      <c r="AL1271" t="n">
        <v>8</v>
      </c>
      <c r="AM1271" t="n">
        <v>8</v>
      </c>
      <c r="AN1271" t="n">
        <v>9</v>
      </c>
      <c r="AO1271" t="n">
        <v>9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HYPERLINK("http://catalog.hathitrust.org/Record/003969696","HathiTrust Record")</f>
        <v/>
      </c>
      <c r="AS1271">
        <f>HYPERLINK("https://creighton-primo.hosted.exlibrisgroup.com/primo-explore/search?tab=default_tab&amp;search_scope=EVERYTHING&amp;vid=01CRU&amp;lang=en_US&amp;offset=0&amp;query=any,contains,991005427079702656","Catalog Record")</f>
        <v/>
      </c>
      <c r="AT1271">
        <f>HYPERLINK("http://www.worldcat.org/oclc/37608280","WorldCat Record")</f>
        <v/>
      </c>
      <c r="AU1271" t="inlineStr">
        <is>
          <t>569632:eng</t>
        </is>
      </c>
      <c r="AV1271" t="inlineStr">
        <is>
          <t>37608280</t>
        </is>
      </c>
      <c r="AW1271" t="inlineStr">
        <is>
          <t>991005427079702656</t>
        </is>
      </c>
      <c r="AX1271" t="inlineStr">
        <is>
          <t>991005427079702656</t>
        </is>
      </c>
      <c r="AY1271" t="inlineStr">
        <is>
          <t>2264304440002656</t>
        </is>
      </c>
      <c r="AZ1271" t="inlineStr">
        <is>
          <t>BOOK</t>
        </is>
      </c>
      <c r="BB1271" t="inlineStr">
        <is>
          <t>9780674796683</t>
        </is>
      </c>
      <c r="BC1271" t="inlineStr">
        <is>
          <t>32285003431078</t>
        </is>
      </c>
      <c r="BD1271" t="inlineStr">
        <is>
          <t>893502020</t>
        </is>
      </c>
    </row>
    <row r="1272">
      <c r="A1272" t="inlineStr">
        <is>
          <t>No</t>
        </is>
      </c>
      <c r="B1272" t="inlineStr">
        <is>
          <t>HV875.55 .R68 1992</t>
        </is>
      </c>
      <c r="C1272" t="inlineStr">
        <is>
          <t>0                      HV 0875550R  68          1992</t>
        </is>
      </c>
      <c r="D1272" t="inlineStr">
        <is>
          <t>Special-needs adoption : a study of intact families / James A. Rosenthal, Victor K. Groze ; foreword by Drenda S. Lakin and Kathryn S. Donley.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Rosenthal, James Aaron.</t>
        </is>
      </c>
      <c r="L1272" t="inlineStr">
        <is>
          <t>New York : Praeger, 1992.</t>
        </is>
      </c>
      <c r="M1272" t="inlineStr">
        <is>
          <t>1992</t>
        </is>
      </c>
      <c r="O1272" t="inlineStr">
        <is>
          <t>eng</t>
        </is>
      </c>
      <c r="P1272" t="inlineStr">
        <is>
          <t>nyu</t>
        </is>
      </c>
      <c r="R1272" t="inlineStr">
        <is>
          <t xml:space="preserve">HV </t>
        </is>
      </c>
      <c r="S1272" t="n">
        <v>27</v>
      </c>
      <c r="T1272" t="n">
        <v>27</v>
      </c>
      <c r="U1272" t="inlineStr">
        <is>
          <t>2001-11-28</t>
        </is>
      </c>
      <c r="V1272" t="inlineStr">
        <is>
          <t>2001-11-28</t>
        </is>
      </c>
      <c r="W1272" t="inlineStr">
        <is>
          <t>1992-09-23</t>
        </is>
      </c>
      <c r="X1272" t="inlineStr">
        <is>
          <t>1992-09-23</t>
        </is>
      </c>
      <c r="Y1272" t="n">
        <v>308</v>
      </c>
      <c r="Z1272" t="n">
        <v>265</v>
      </c>
      <c r="AA1272" t="n">
        <v>272</v>
      </c>
      <c r="AB1272" t="n">
        <v>3</v>
      </c>
      <c r="AC1272" t="n">
        <v>3</v>
      </c>
      <c r="AD1272" t="n">
        <v>11</v>
      </c>
      <c r="AE1272" t="n">
        <v>11</v>
      </c>
      <c r="AF1272" t="n">
        <v>1</v>
      </c>
      <c r="AG1272" t="n">
        <v>1</v>
      </c>
      <c r="AH1272" t="n">
        <v>3</v>
      </c>
      <c r="AI1272" t="n">
        <v>3</v>
      </c>
      <c r="AJ1272" t="n">
        <v>6</v>
      </c>
      <c r="AK1272" t="n">
        <v>6</v>
      </c>
      <c r="AL1272" t="n">
        <v>2</v>
      </c>
      <c r="AM1272" t="n">
        <v>2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HYPERLINK("http://catalog.hathitrust.org/Record/002523975","HathiTrust Record")</f>
        <v/>
      </c>
      <c r="AS1272">
        <f>HYPERLINK("https://creighton-primo.hosted.exlibrisgroup.com/primo-explore/search?tab=default_tab&amp;search_scope=EVERYTHING&amp;vid=01CRU&amp;lang=en_US&amp;offset=0&amp;query=any,contains,991001932019702656","Catalog Record")</f>
        <v/>
      </c>
      <c r="AT1272">
        <f>HYPERLINK("http://www.worldcat.org/oclc/24379710","WorldCat Record")</f>
        <v/>
      </c>
      <c r="AU1272" t="inlineStr">
        <is>
          <t>836905514:eng</t>
        </is>
      </c>
      <c r="AV1272" t="inlineStr">
        <is>
          <t>24379710</t>
        </is>
      </c>
      <c r="AW1272" t="inlineStr">
        <is>
          <t>991001932019702656</t>
        </is>
      </c>
      <c r="AX1272" t="inlineStr">
        <is>
          <t>991001932019702656</t>
        </is>
      </c>
      <c r="AY1272" t="inlineStr">
        <is>
          <t>2264571340002656</t>
        </is>
      </c>
      <c r="AZ1272" t="inlineStr">
        <is>
          <t>BOOK</t>
        </is>
      </c>
      <c r="BB1272" t="inlineStr">
        <is>
          <t>9780275937904</t>
        </is>
      </c>
      <c r="BC1272" t="inlineStr">
        <is>
          <t>32285001288850</t>
        </is>
      </c>
      <c r="BD1272" t="inlineStr">
        <is>
          <t>893261989</t>
        </is>
      </c>
    </row>
    <row r="1273">
      <c r="A1273" t="inlineStr">
        <is>
          <t>No</t>
        </is>
      </c>
      <c r="B1273" t="inlineStr">
        <is>
          <t>HV875.55 .W38 1993</t>
        </is>
      </c>
      <c r="C1273" t="inlineStr">
        <is>
          <t>0                      HV 0875550W  38          1993</t>
        </is>
      </c>
      <c r="D1273" t="inlineStr">
        <is>
          <t>Talking with young children about adoption / Mary Watkins and Susan Fisher.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Watkins, Mary, 1950-</t>
        </is>
      </c>
      <c r="L1273" t="inlineStr">
        <is>
          <t>New Haven : Yale University Press, c1993.</t>
        </is>
      </c>
      <c r="M1273" t="inlineStr">
        <is>
          <t>1993</t>
        </is>
      </c>
      <c r="O1273" t="inlineStr">
        <is>
          <t>eng</t>
        </is>
      </c>
      <c r="P1273" t="inlineStr">
        <is>
          <t>ctu</t>
        </is>
      </c>
      <c r="R1273" t="inlineStr">
        <is>
          <t xml:space="preserve">HV </t>
        </is>
      </c>
      <c r="S1273" t="n">
        <v>15</v>
      </c>
      <c r="T1273" t="n">
        <v>15</v>
      </c>
      <c r="U1273" t="inlineStr">
        <is>
          <t>2007-01-27</t>
        </is>
      </c>
      <c r="V1273" t="inlineStr">
        <is>
          <t>2007-01-27</t>
        </is>
      </c>
      <c r="W1273" t="inlineStr">
        <is>
          <t>1996-09-10</t>
        </is>
      </c>
      <c r="X1273" t="inlineStr">
        <is>
          <t>1996-09-10</t>
        </is>
      </c>
      <c r="Y1273" t="n">
        <v>557</v>
      </c>
      <c r="Z1273" t="n">
        <v>507</v>
      </c>
      <c r="AA1273" t="n">
        <v>695</v>
      </c>
      <c r="AB1273" t="n">
        <v>3</v>
      </c>
      <c r="AC1273" t="n">
        <v>3</v>
      </c>
      <c r="AD1273" t="n">
        <v>11</v>
      </c>
      <c r="AE1273" t="n">
        <v>22</v>
      </c>
      <c r="AF1273" t="n">
        <v>1</v>
      </c>
      <c r="AG1273" t="n">
        <v>9</v>
      </c>
      <c r="AH1273" t="n">
        <v>3</v>
      </c>
      <c r="AI1273" t="n">
        <v>6</v>
      </c>
      <c r="AJ1273" t="n">
        <v>6</v>
      </c>
      <c r="AK1273" t="n">
        <v>10</v>
      </c>
      <c r="AL1273" t="n">
        <v>2</v>
      </c>
      <c r="AM1273" t="n">
        <v>2</v>
      </c>
      <c r="AN1273" t="n">
        <v>1</v>
      </c>
      <c r="AO1273" t="n">
        <v>1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HYPERLINK("https://creighton-primo.hosted.exlibrisgroup.com/primo-explore/search?tab=default_tab&amp;search_scope=EVERYTHING&amp;vid=01CRU&amp;lang=en_US&amp;offset=0&amp;query=any,contains,991002118419702656","Catalog Record")</f>
        <v/>
      </c>
      <c r="AT1273">
        <f>HYPERLINK("http://www.worldcat.org/oclc/27147080","WorldCat Record")</f>
        <v/>
      </c>
      <c r="AU1273" t="inlineStr">
        <is>
          <t>329771:eng</t>
        </is>
      </c>
      <c r="AV1273" t="inlineStr">
        <is>
          <t>27147080</t>
        </is>
      </c>
      <c r="AW1273" t="inlineStr">
        <is>
          <t>991002118419702656</t>
        </is>
      </c>
      <c r="AX1273" t="inlineStr">
        <is>
          <t>991002118419702656</t>
        </is>
      </c>
      <c r="AY1273" t="inlineStr">
        <is>
          <t>2256063540002656</t>
        </is>
      </c>
      <c r="AZ1273" t="inlineStr">
        <is>
          <t>BOOK</t>
        </is>
      </c>
      <c r="BB1273" t="inlineStr">
        <is>
          <t>9780300051780</t>
        </is>
      </c>
      <c r="BC1273" t="inlineStr">
        <is>
          <t>32285002316726</t>
        </is>
      </c>
      <c r="BD1273" t="inlineStr">
        <is>
          <t>893879513</t>
        </is>
      </c>
    </row>
    <row r="1274">
      <c r="A1274" t="inlineStr">
        <is>
          <t>No</t>
        </is>
      </c>
      <c r="B1274" t="inlineStr">
        <is>
          <t>HV875.58.C2 S23 1989</t>
        </is>
      </c>
      <c r="C1274" t="inlineStr">
        <is>
          <t>0                      HV 0875580C  2                  S  23          1989</t>
        </is>
      </c>
      <c r="D1274" t="inlineStr">
        <is>
          <t>Unlocking the adoption files / Paul Sachdev.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Sachdev, Paul.</t>
        </is>
      </c>
      <c r="L1274" t="inlineStr">
        <is>
          <t>Lexington, Mass. : Lexington Books, c1989.</t>
        </is>
      </c>
      <c r="M1274" t="inlineStr">
        <is>
          <t>1989</t>
        </is>
      </c>
      <c r="O1274" t="inlineStr">
        <is>
          <t>eng</t>
        </is>
      </c>
      <c r="P1274" t="inlineStr">
        <is>
          <t>mau</t>
        </is>
      </c>
      <c r="R1274" t="inlineStr">
        <is>
          <t xml:space="preserve">HV </t>
        </is>
      </c>
      <c r="S1274" t="n">
        <v>24</v>
      </c>
      <c r="T1274" t="n">
        <v>24</v>
      </c>
      <c r="U1274" t="inlineStr">
        <is>
          <t>2003-02-07</t>
        </is>
      </c>
      <c r="V1274" t="inlineStr">
        <is>
          <t>2003-02-07</t>
        </is>
      </c>
      <c r="W1274" t="inlineStr">
        <is>
          <t>1995-06-23</t>
        </is>
      </c>
      <c r="X1274" t="inlineStr">
        <is>
          <t>1995-06-23</t>
        </is>
      </c>
      <c r="Y1274" t="n">
        <v>577</v>
      </c>
      <c r="Z1274" t="n">
        <v>516</v>
      </c>
      <c r="AA1274" t="n">
        <v>518</v>
      </c>
      <c r="AB1274" t="n">
        <v>3</v>
      </c>
      <c r="AC1274" t="n">
        <v>3</v>
      </c>
      <c r="AD1274" t="n">
        <v>20</v>
      </c>
      <c r="AE1274" t="n">
        <v>20</v>
      </c>
      <c r="AF1274" t="n">
        <v>5</v>
      </c>
      <c r="AG1274" t="n">
        <v>5</v>
      </c>
      <c r="AH1274" t="n">
        <v>3</v>
      </c>
      <c r="AI1274" t="n">
        <v>3</v>
      </c>
      <c r="AJ1274" t="n">
        <v>6</v>
      </c>
      <c r="AK1274" t="n">
        <v>6</v>
      </c>
      <c r="AL1274" t="n">
        <v>2</v>
      </c>
      <c r="AM1274" t="n">
        <v>2</v>
      </c>
      <c r="AN1274" t="n">
        <v>7</v>
      </c>
      <c r="AO1274" t="n">
        <v>7</v>
      </c>
      <c r="AP1274" t="inlineStr">
        <is>
          <t>No</t>
        </is>
      </c>
      <c r="AQ1274" t="inlineStr">
        <is>
          <t>Yes</t>
        </is>
      </c>
      <c r="AR1274">
        <f>HYPERLINK("http://catalog.hathitrust.org/Record/001547693","HathiTrust Record")</f>
        <v/>
      </c>
      <c r="AS1274">
        <f>HYPERLINK("https://creighton-primo.hosted.exlibrisgroup.com/primo-explore/search?tab=default_tab&amp;search_scope=EVERYTHING&amp;vid=01CRU&amp;lang=en_US&amp;offset=0&amp;query=any,contains,991001507139702656","Catalog Record")</f>
        <v/>
      </c>
      <c r="AT1274">
        <f>HYPERLINK("http://www.worldcat.org/oclc/19846910","WorldCat Record")</f>
        <v/>
      </c>
      <c r="AU1274" t="inlineStr">
        <is>
          <t>21925339:eng</t>
        </is>
      </c>
      <c r="AV1274" t="inlineStr">
        <is>
          <t>19846910</t>
        </is>
      </c>
      <c r="AW1274" t="inlineStr">
        <is>
          <t>991001507139702656</t>
        </is>
      </c>
      <c r="AX1274" t="inlineStr">
        <is>
          <t>991001507139702656</t>
        </is>
      </c>
      <c r="AY1274" t="inlineStr">
        <is>
          <t>2265682920002656</t>
        </is>
      </c>
      <c r="AZ1274" t="inlineStr">
        <is>
          <t>BOOK</t>
        </is>
      </c>
      <c r="BB1274" t="inlineStr">
        <is>
          <t>9780669209754</t>
        </is>
      </c>
      <c r="BC1274" t="inlineStr">
        <is>
          <t>32285002052370</t>
        </is>
      </c>
      <c r="BD1274" t="inlineStr">
        <is>
          <t>893785142</t>
        </is>
      </c>
    </row>
    <row r="1275">
      <c r="A1275" t="inlineStr">
        <is>
          <t>No</t>
        </is>
      </c>
      <c r="B1275" t="inlineStr">
        <is>
          <t>HV875.64 .F44 1983</t>
        </is>
      </c>
      <c r="C1275" t="inlineStr">
        <is>
          <t>0                      HV 0875640F  44          1983</t>
        </is>
      </c>
      <c r="D1275" t="inlineStr">
        <is>
          <t>Chosen children : new patterns of adoptive relationships / William Feigelman and Arnold R. Silverman.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Feigelman, William.</t>
        </is>
      </c>
      <c r="L1275" t="inlineStr">
        <is>
          <t>New York, NY, U.S.A. : Praeger, 1983.</t>
        </is>
      </c>
      <c r="M1275" t="inlineStr">
        <is>
          <t>1983</t>
        </is>
      </c>
      <c r="O1275" t="inlineStr">
        <is>
          <t>eng</t>
        </is>
      </c>
      <c r="P1275" t="inlineStr">
        <is>
          <t>nyu</t>
        </is>
      </c>
      <c r="R1275" t="inlineStr">
        <is>
          <t xml:space="preserve">HV </t>
        </is>
      </c>
      <c r="S1275" t="n">
        <v>26</v>
      </c>
      <c r="T1275" t="n">
        <v>26</v>
      </c>
      <c r="U1275" t="inlineStr">
        <is>
          <t>2007-01-27</t>
        </is>
      </c>
      <c r="V1275" t="inlineStr">
        <is>
          <t>2007-01-27</t>
        </is>
      </c>
      <c r="W1275" t="inlineStr">
        <is>
          <t>1992-02-11</t>
        </is>
      </c>
      <c r="X1275" t="inlineStr">
        <is>
          <t>1992-02-11</t>
        </is>
      </c>
      <c r="Y1275" t="n">
        <v>629</v>
      </c>
      <c r="Z1275" t="n">
        <v>557</v>
      </c>
      <c r="AA1275" t="n">
        <v>573</v>
      </c>
      <c r="AB1275" t="n">
        <v>9</v>
      </c>
      <c r="AC1275" t="n">
        <v>9</v>
      </c>
      <c r="AD1275" t="n">
        <v>33</v>
      </c>
      <c r="AE1275" t="n">
        <v>34</v>
      </c>
      <c r="AF1275" t="n">
        <v>12</v>
      </c>
      <c r="AG1275" t="n">
        <v>13</v>
      </c>
      <c r="AH1275" t="n">
        <v>7</v>
      </c>
      <c r="AI1275" t="n">
        <v>7</v>
      </c>
      <c r="AJ1275" t="n">
        <v>12</v>
      </c>
      <c r="AK1275" t="n">
        <v>12</v>
      </c>
      <c r="AL1275" t="n">
        <v>7</v>
      </c>
      <c r="AM1275" t="n">
        <v>7</v>
      </c>
      <c r="AN1275" t="n">
        <v>1</v>
      </c>
      <c r="AO1275" t="n">
        <v>1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HYPERLINK("http://catalog.hathitrust.org/Record/000119249","HathiTrust Record")</f>
        <v/>
      </c>
      <c r="AS1275">
        <f>HYPERLINK("https://creighton-primo.hosted.exlibrisgroup.com/primo-explore/search?tab=default_tab&amp;search_scope=EVERYTHING&amp;vid=01CRU&amp;lang=en_US&amp;offset=0&amp;query=any,contains,991000239259702656","Catalog Record")</f>
        <v/>
      </c>
      <c r="AT1275">
        <f>HYPERLINK("http://www.worldcat.org/oclc/9682706","WorldCat Record")</f>
        <v/>
      </c>
      <c r="AU1275" t="inlineStr">
        <is>
          <t>312467988:eng</t>
        </is>
      </c>
      <c r="AV1275" t="inlineStr">
        <is>
          <t>9682706</t>
        </is>
      </c>
      <c r="AW1275" t="inlineStr">
        <is>
          <t>991000239259702656</t>
        </is>
      </c>
      <c r="AX1275" t="inlineStr">
        <is>
          <t>991000239259702656</t>
        </is>
      </c>
      <c r="AY1275" t="inlineStr">
        <is>
          <t>2264096150002656</t>
        </is>
      </c>
      <c r="AZ1275" t="inlineStr">
        <is>
          <t>BOOK</t>
        </is>
      </c>
      <c r="BB1275" t="inlineStr">
        <is>
          <t>9780030623431</t>
        </is>
      </c>
      <c r="BC1275" t="inlineStr">
        <is>
          <t>32285000955244</t>
        </is>
      </c>
      <c r="BD1275" t="inlineStr">
        <is>
          <t>893884246</t>
        </is>
      </c>
    </row>
    <row r="1276">
      <c r="A1276" t="inlineStr">
        <is>
          <t>No</t>
        </is>
      </c>
      <c r="B1276" t="inlineStr">
        <is>
          <t>HV875.64 .F64 2002</t>
        </is>
      </c>
      <c r="C1276" t="inlineStr">
        <is>
          <t>0                      HV 0875640F  64          2002</t>
        </is>
      </c>
      <c r="D1276" t="inlineStr">
        <is>
          <t>The ethics of transracial adoption / Hawley Fogg-Davis.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Fogg-Davis, Hawley Grace, 1970-</t>
        </is>
      </c>
      <c r="L1276" t="inlineStr">
        <is>
          <t>Ithaca : Cornell University Press, c2002.</t>
        </is>
      </c>
      <c r="M1276" t="inlineStr">
        <is>
          <t>2002</t>
        </is>
      </c>
      <c r="O1276" t="inlineStr">
        <is>
          <t>eng</t>
        </is>
      </c>
      <c r="P1276" t="inlineStr">
        <is>
          <t>nyu</t>
        </is>
      </c>
      <c r="R1276" t="inlineStr">
        <is>
          <t xml:space="preserve">HV </t>
        </is>
      </c>
      <c r="S1276" t="n">
        <v>4</v>
      </c>
      <c r="T1276" t="n">
        <v>4</v>
      </c>
      <c r="U1276" t="inlineStr">
        <is>
          <t>2007-08-22</t>
        </is>
      </c>
      <c r="V1276" t="inlineStr">
        <is>
          <t>2007-08-22</t>
        </is>
      </c>
      <c r="W1276" t="inlineStr">
        <is>
          <t>2002-09-12</t>
        </is>
      </c>
      <c r="X1276" t="inlineStr">
        <is>
          <t>2002-09-12</t>
        </is>
      </c>
      <c r="Y1276" t="n">
        <v>563</v>
      </c>
      <c r="Z1276" t="n">
        <v>505</v>
      </c>
      <c r="AA1276" t="n">
        <v>788</v>
      </c>
      <c r="AB1276" t="n">
        <v>4</v>
      </c>
      <c r="AC1276" t="n">
        <v>7</v>
      </c>
      <c r="AD1276" t="n">
        <v>27</v>
      </c>
      <c r="AE1276" t="n">
        <v>41</v>
      </c>
      <c r="AF1276" t="n">
        <v>9</v>
      </c>
      <c r="AG1276" t="n">
        <v>14</v>
      </c>
      <c r="AH1276" t="n">
        <v>4</v>
      </c>
      <c r="AI1276" t="n">
        <v>9</v>
      </c>
      <c r="AJ1276" t="n">
        <v>13</v>
      </c>
      <c r="AK1276" t="n">
        <v>16</v>
      </c>
      <c r="AL1276" t="n">
        <v>3</v>
      </c>
      <c r="AM1276" t="n">
        <v>6</v>
      </c>
      <c r="AN1276" t="n">
        <v>3</v>
      </c>
      <c r="AO1276" t="n">
        <v>3</v>
      </c>
      <c r="AP1276" t="inlineStr">
        <is>
          <t>No</t>
        </is>
      </c>
      <c r="AQ1276" t="inlineStr">
        <is>
          <t>No</t>
        </is>
      </c>
      <c r="AS1276">
        <f>HYPERLINK("https://creighton-primo.hosted.exlibrisgroup.com/primo-explore/search?tab=default_tab&amp;search_scope=EVERYTHING&amp;vid=01CRU&amp;lang=en_US&amp;offset=0&amp;query=any,contains,991003888179702656","Catalog Record")</f>
        <v/>
      </c>
      <c r="AT1276">
        <f>HYPERLINK("http://www.worldcat.org/oclc/47665460","WorldCat Record")</f>
        <v/>
      </c>
      <c r="AU1276" t="inlineStr">
        <is>
          <t>20949666:eng</t>
        </is>
      </c>
      <c r="AV1276" t="inlineStr">
        <is>
          <t>47665460</t>
        </is>
      </c>
      <c r="AW1276" t="inlineStr">
        <is>
          <t>991003888179702656</t>
        </is>
      </c>
      <c r="AX1276" t="inlineStr">
        <is>
          <t>991003888179702656</t>
        </is>
      </c>
      <c r="AY1276" t="inlineStr">
        <is>
          <t>2261715670002656</t>
        </is>
      </c>
      <c r="AZ1276" t="inlineStr">
        <is>
          <t>BOOK</t>
        </is>
      </c>
      <c r="BB1276" t="inlineStr">
        <is>
          <t>9780801438981</t>
        </is>
      </c>
      <c r="BC1276" t="inlineStr">
        <is>
          <t>32285004655501</t>
        </is>
      </c>
      <c r="BD1276" t="inlineStr">
        <is>
          <t>893349327</t>
        </is>
      </c>
    </row>
    <row r="1277">
      <c r="A1277" t="inlineStr">
        <is>
          <t>No</t>
        </is>
      </c>
      <c r="B1277" t="inlineStr">
        <is>
          <t>HV875.64 .S64 1988</t>
        </is>
      </c>
      <c r="C1277" t="inlineStr">
        <is>
          <t>0                      HV 0875640S  64          1988</t>
        </is>
      </c>
      <c r="D1277" t="inlineStr">
        <is>
          <t>Mothers and their adopted children : the bonding process / Dorothy W. Smith, Laurie N. Sherwen.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Smith, Dorothy W.</t>
        </is>
      </c>
      <c r="L1277" t="inlineStr">
        <is>
          <t>New York City : Tiresias Press, c1988.</t>
        </is>
      </c>
      <c r="M1277" t="inlineStr">
        <is>
          <t>1988</t>
        </is>
      </c>
      <c r="N1277" t="inlineStr">
        <is>
          <t>2nd ed.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HV </t>
        </is>
      </c>
      <c r="S1277" t="n">
        <v>25</v>
      </c>
      <c r="T1277" t="n">
        <v>25</v>
      </c>
      <c r="U1277" t="inlineStr">
        <is>
          <t>2007-01-27</t>
        </is>
      </c>
      <c r="V1277" t="inlineStr">
        <is>
          <t>2007-01-27</t>
        </is>
      </c>
      <c r="W1277" t="inlineStr">
        <is>
          <t>1991-12-30</t>
        </is>
      </c>
      <c r="X1277" t="inlineStr">
        <is>
          <t>1991-12-30</t>
        </is>
      </c>
      <c r="Y1277" t="n">
        <v>253</v>
      </c>
      <c r="Z1277" t="n">
        <v>225</v>
      </c>
      <c r="AA1277" t="n">
        <v>496</v>
      </c>
      <c r="AB1277" t="n">
        <v>1</v>
      </c>
      <c r="AC1277" t="n">
        <v>3</v>
      </c>
      <c r="AD1277" t="n">
        <v>9</v>
      </c>
      <c r="AE1277" t="n">
        <v>18</v>
      </c>
      <c r="AF1277" t="n">
        <v>2</v>
      </c>
      <c r="AG1277" t="n">
        <v>7</v>
      </c>
      <c r="AH1277" t="n">
        <v>1</v>
      </c>
      <c r="AI1277" t="n">
        <v>1</v>
      </c>
      <c r="AJ1277" t="n">
        <v>8</v>
      </c>
      <c r="AK1277" t="n">
        <v>12</v>
      </c>
      <c r="AL1277" t="n">
        <v>0</v>
      </c>
      <c r="AM1277" t="n">
        <v>2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No</t>
        </is>
      </c>
      <c r="AS1277">
        <f>HYPERLINK("https://creighton-primo.hosted.exlibrisgroup.com/primo-explore/search?tab=default_tab&amp;search_scope=EVERYTHING&amp;vid=01CRU&amp;lang=en_US&amp;offset=0&amp;query=any,contains,991001263729702656","Catalog Record")</f>
        <v/>
      </c>
      <c r="AT1277">
        <f>HYPERLINK("http://www.worldcat.org/oclc/17783861","WorldCat Record")</f>
        <v/>
      </c>
      <c r="AU1277" t="inlineStr">
        <is>
          <t>16821117:eng</t>
        </is>
      </c>
      <c r="AV1277" t="inlineStr">
        <is>
          <t>17783861</t>
        </is>
      </c>
      <c r="AW1277" t="inlineStr">
        <is>
          <t>991001263729702656</t>
        </is>
      </c>
      <c r="AX1277" t="inlineStr">
        <is>
          <t>991001263729702656</t>
        </is>
      </c>
      <c r="AY1277" t="inlineStr">
        <is>
          <t>2268063040002656</t>
        </is>
      </c>
      <c r="AZ1277" t="inlineStr">
        <is>
          <t>BOOK</t>
        </is>
      </c>
      <c r="BB1277" t="inlineStr">
        <is>
          <t>9780913292402</t>
        </is>
      </c>
      <c r="BC1277" t="inlineStr">
        <is>
          <t>32285000881499</t>
        </is>
      </c>
      <c r="BD1277" t="inlineStr">
        <is>
          <t>893328019</t>
        </is>
      </c>
    </row>
    <row r="1278">
      <c r="A1278" t="inlineStr">
        <is>
          <t>No</t>
        </is>
      </c>
      <c r="B1278" t="inlineStr">
        <is>
          <t>HV8756 .D82</t>
        </is>
      </c>
      <c r="C1278" t="inlineStr">
        <is>
          <t>0                      HV 8756000D  82</t>
        </is>
      </c>
      <c r="D1278" t="inlineStr">
        <is>
          <t>Correctional policy and prison organization / David Duffee.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Duffee, David.</t>
        </is>
      </c>
      <c r="L1278" t="inlineStr">
        <is>
          <t>[Beverly Hills] : Sage Publications ; New York : distributed by Halsted Press, [1975]</t>
        </is>
      </c>
      <c r="M1278" t="inlineStr">
        <is>
          <t>1975</t>
        </is>
      </c>
      <c r="O1278" t="inlineStr">
        <is>
          <t>eng</t>
        </is>
      </c>
      <c r="P1278" t="inlineStr">
        <is>
          <t>cau</t>
        </is>
      </c>
      <c r="R1278" t="inlineStr">
        <is>
          <t xml:space="preserve">HV </t>
        </is>
      </c>
      <c r="S1278" t="n">
        <v>6</v>
      </c>
      <c r="T1278" t="n">
        <v>6</v>
      </c>
      <c r="U1278" t="inlineStr">
        <is>
          <t>1999-04-17</t>
        </is>
      </c>
      <c r="V1278" t="inlineStr">
        <is>
          <t>1999-04-17</t>
        </is>
      </c>
      <c r="W1278" t="inlineStr">
        <is>
          <t>1992-04-28</t>
        </is>
      </c>
      <c r="X1278" t="inlineStr">
        <is>
          <t>1992-04-28</t>
        </is>
      </c>
      <c r="Y1278" t="n">
        <v>438</v>
      </c>
      <c r="Z1278" t="n">
        <v>371</v>
      </c>
      <c r="AA1278" t="n">
        <v>373</v>
      </c>
      <c r="AB1278" t="n">
        <v>3</v>
      </c>
      <c r="AC1278" t="n">
        <v>3</v>
      </c>
      <c r="AD1278" t="n">
        <v>17</v>
      </c>
      <c r="AE1278" t="n">
        <v>17</v>
      </c>
      <c r="AF1278" t="n">
        <v>6</v>
      </c>
      <c r="AG1278" t="n">
        <v>6</v>
      </c>
      <c r="AH1278" t="n">
        <v>3</v>
      </c>
      <c r="AI1278" t="n">
        <v>3</v>
      </c>
      <c r="AJ1278" t="n">
        <v>4</v>
      </c>
      <c r="AK1278" t="n">
        <v>4</v>
      </c>
      <c r="AL1278" t="n">
        <v>1</v>
      </c>
      <c r="AM1278" t="n">
        <v>1</v>
      </c>
      <c r="AN1278" t="n">
        <v>5</v>
      </c>
      <c r="AO1278" t="n">
        <v>5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HYPERLINK("http://catalog.hathitrust.org/Record/004403041","HathiTrust Record")</f>
        <v/>
      </c>
      <c r="AS1278">
        <f>HYPERLINK("https://creighton-primo.hosted.exlibrisgroup.com/primo-explore/search?tab=default_tab&amp;search_scope=EVERYTHING&amp;vid=01CRU&amp;lang=en_US&amp;offset=0&amp;query=any,contains,991003785049702656","Catalog Record")</f>
        <v/>
      </c>
      <c r="AT1278">
        <f>HYPERLINK("http://www.worldcat.org/oclc/1500323","WorldCat Record")</f>
        <v/>
      </c>
      <c r="AU1278" t="inlineStr">
        <is>
          <t>2290385:eng</t>
        </is>
      </c>
      <c r="AV1278" t="inlineStr">
        <is>
          <t>1500323</t>
        </is>
      </c>
      <c r="AW1278" t="inlineStr">
        <is>
          <t>991003785049702656</t>
        </is>
      </c>
      <c r="AX1278" t="inlineStr">
        <is>
          <t>991003785049702656</t>
        </is>
      </c>
      <c r="AY1278" t="inlineStr">
        <is>
          <t>2260384950002656</t>
        </is>
      </c>
      <c r="AZ1278" t="inlineStr">
        <is>
          <t>BOOK</t>
        </is>
      </c>
      <c r="BB1278" t="inlineStr">
        <is>
          <t>9780470223727</t>
        </is>
      </c>
      <c r="BC1278" t="inlineStr">
        <is>
          <t>32285001102291</t>
        </is>
      </c>
      <c r="BD1278" t="inlineStr">
        <is>
          <t>893429222</t>
        </is>
      </c>
    </row>
    <row r="1279">
      <c r="A1279" t="inlineStr">
        <is>
          <t>No</t>
        </is>
      </c>
      <c r="B1279" t="inlineStr">
        <is>
          <t>HV881 .F36</t>
        </is>
      </c>
      <c r="C1279" t="inlineStr">
        <is>
          <t>0                      HV 0881000F  36</t>
        </is>
      </c>
      <c r="D1279" t="inlineStr">
        <is>
          <t>Children in foster care : a longitudinal investigation / David Fanshel and Eugene B. Shinn.</t>
        </is>
      </c>
      <c r="F1279" t="inlineStr">
        <is>
          <t>No</t>
        </is>
      </c>
      <c r="G1279" t="inlineStr">
        <is>
          <t>1</t>
        </is>
      </c>
      <c r="H1279" t="inlineStr">
        <is>
          <t>Yes</t>
        </is>
      </c>
      <c r="I1279" t="inlineStr">
        <is>
          <t>No</t>
        </is>
      </c>
      <c r="J1279" t="inlineStr">
        <is>
          <t>0</t>
        </is>
      </c>
      <c r="K1279" t="inlineStr">
        <is>
          <t>Fanshel, David.</t>
        </is>
      </c>
      <c r="L1279" t="inlineStr">
        <is>
          <t>New York : Columbia University Press, 1978.</t>
        </is>
      </c>
      <c r="M1279" t="inlineStr">
        <is>
          <t>1978</t>
        </is>
      </c>
      <c r="O1279" t="inlineStr">
        <is>
          <t>eng</t>
        </is>
      </c>
      <c r="P1279" t="inlineStr">
        <is>
          <t>nyu</t>
        </is>
      </c>
      <c r="R1279" t="inlineStr">
        <is>
          <t xml:space="preserve">HV </t>
        </is>
      </c>
      <c r="S1279" t="n">
        <v>7</v>
      </c>
      <c r="T1279" t="n">
        <v>10</v>
      </c>
      <c r="U1279" t="inlineStr">
        <is>
          <t>2004-02-16</t>
        </is>
      </c>
      <c r="V1279" t="inlineStr">
        <is>
          <t>2004-02-16</t>
        </is>
      </c>
      <c r="W1279" t="inlineStr">
        <is>
          <t>1992-09-09</t>
        </is>
      </c>
      <c r="X1279" t="inlineStr">
        <is>
          <t>1992-09-09</t>
        </is>
      </c>
      <c r="Y1279" t="n">
        <v>735</v>
      </c>
      <c r="Z1279" t="n">
        <v>611</v>
      </c>
      <c r="AA1279" t="n">
        <v>618</v>
      </c>
      <c r="AB1279" t="n">
        <v>7</v>
      </c>
      <c r="AC1279" t="n">
        <v>7</v>
      </c>
      <c r="AD1279" t="n">
        <v>27</v>
      </c>
      <c r="AE1279" t="n">
        <v>27</v>
      </c>
      <c r="AF1279" t="n">
        <v>10</v>
      </c>
      <c r="AG1279" t="n">
        <v>10</v>
      </c>
      <c r="AH1279" t="n">
        <v>8</v>
      </c>
      <c r="AI1279" t="n">
        <v>8</v>
      </c>
      <c r="AJ1279" t="n">
        <v>13</v>
      </c>
      <c r="AK1279" t="n">
        <v>13</v>
      </c>
      <c r="AL1279" t="n">
        <v>4</v>
      </c>
      <c r="AM1279" t="n">
        <v>4</v>
      </c>
      <c r="AN1279" t="n">
        <v>0</v>
      </c>
      <c r="AO1279" t="n">
        <v>0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HYPERLINK("https://creighton-primo.hosted.exlibrisgroup.com/primo-explore/search?tab=default_tab&amp;search_scope=EVERYTHING&amp;vid=01CRU&amp;lang=en_US&amp;offset=0&amp;query=any,contains,991001767039702656","Catalog Record")</f>
        <v/>
      </c>
      <c r="AT1279">
        <f>HYPERLINK("http://www.worldcat.org/oclc/2818394","WorldCat Record")</f>
        <v/>
      </c>
      <c r="AU1279" t="inlineStr">
        <is>
          <t>308989860:eng</t>
        </is>
      </c>
      <c r="AV1279" t="inlineStr">
        <is>
          <t>2818394</t>
        </is>
      </c>
      <c r="AW1279" t="inlineStr">
        <is>
          <t>991001767039702656</t>
        </is>
      </c>
      <c r="AX1279" t="inlineStr">
        <is>
          <t>991001767039702656</t>
        </is>
      </c>
      <c r="AY1279" t="inlineStr">
        <is>
          <t>2265210970002656</t>
        </is>
      </c>
      <c r="AZ1279" t="inlineStr">
        <is>
          <t>BOOK</t>
        </is>
      </c>
      <c r="BB1279" t="inlineStr">
        <is>
          <t>9780231035767</t>
        </is>
      </c>
      <c r="BC1279" t="inlineStr">
        <is>
          <t>32285001297083</t>
        </is>
      </c>
      <c r="BD1279" t="inlineStr">
        <is>
          <t>893697015</t>
        </is>
      </c>
    </row>
    <row r="1280">
      <c r="A1280" t="inlineStr">
        <is>
          <t>No</t>
        </is>
      </c>
      <c r="B1280" t="inlineStr">
        <is>
          <t>HV881 .P55 1992</t>
        </is>
      </c>
      <c r="C1280" t="inlineStr">
        <is>
          <t>0                      HV 0881000P  55          1992</t>
        </is>
      </c>
      <c r="D1280" t="inlineStr">
        <is>
          <t>When you place a child-- / by Erwin H. Plumer.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Plumer, Erwin H.</t>
        </is>
      </c>
      <c r="L1280" t="inlineStr">
        <is>
          <t>Springfield, Ill., U.S.A. : C.C. Thomas, Publisher, c1992.</t>
        </is>
      </c>
      <c r="M1280" t="inlineStr">
        <is>
          <t>1992</t>
        </is>
      </c>
      <c r="O1280" t="inlineStr">
        <is>
          <t>eng</t>
        </is>
      </c>
      <c r="P1280" t="inlineStr">
        <is>
          <t>ilu</t>
        </is>
      </c>
      <c r="R1280" t="inlineStr">
        <is>
          <t xml:space="preserve">HV </t>
        </is>
      </c>
      <c r="S1280" t="n">
        <v>17</v>
      </c>
      <c r="T1280" t="n">
        <v>17</v>
      </c>
      <c r="U1280" t="inlineStr">
        <is>
          <t>1997-11-25</t>
        </is>
      </c>
      <c r="V1280" t="inlineStr">
        <is>
          <t>1997-11-25</t>
        </is>
      </c>
      <c r="W1280" t="inlineStr">
        <is>
          <t>1993-01-05</t>
        </is>
      </c>
      <c r="X1280" t="inlineStr">
        <is>
          <t>1993-01-05</t>
        </is>
      </c>
      <c r="Y1280" t="n">
        <v>229</v>
      </c>
      <c r="Z1280" t="n">
        <v>202</v>
      </c>
      <c r="AA1280" t="n">
        <v>204</v>
      </c>
      <c r="AB1280" t="n">
        <v>3</v>
      </c>
      <c r="AC1280" t="n">
        <v>3</v>
      </c>
      <c r="AD1280" t="n">
        <v>9</v>
      </c>
      <c r="AE1280" t="n">
        <v>9</v>
      </c>
      <c r="AF1280" t="n">
        <v>2</v>
      </c>
      <c r="AG1280" t="n">
        <v>2</v>
      </c>
      <c r="AH1280" t="n">
        <v>2</v>
      </c>
      <c r="AI1280" t="n">
        <v>2</v>
      </c>
      <c r="AJ1280" t="n">
        <v>5</v>
      </c>
      <c r="AK1280" t="n">
        <v>5</v>
      </c>
      <c r="AL1280" t="n">
        <v>2</v>
      </c>
      <c r="AM1280" t="n">
        <v>2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HYPERLINK("http://catalog.hathitrust.org/Record/002566508","HathiTrust Record")</f>
        <v/>
      </c>
      <c r="AS1280">
        <f>HYPERLINK("https://creighton-primo.hosted.exlibrisgroup.com/primo-explore/search?tab=default_tab&amp;search_scope=EVERYTHING&amp;vid=01CRU&amp;lang=en_US&amp;offset=0&amp;query=any,contains,991001945979702656","Catalog Record")</f>
        <v/>
      </c>
      <c r="AT1280">
        <f>HYPERLINK("http://www.worldcat.org/oclc/24590252","WorldCat Record")</f>
        <v/>
      </c>
      <c r="AU1280" t="inlineStr">
        <is>
          <t>27391305:eng</t>
        </is>
      </c>
      <c r="AV1280" t="inlineStr">
        <is>
          <t>24590252</t>
        </is>
      </c>
      <c r="AW1280" t="inlineStr">
        <is>
          <t>991001945979702656</t>
        </is>
      </c>
      <c r="AX1280" t="inlineStr">
        <is>
          <t>991001945979702656</t>
        </is>
      </c>
      <c r="AY1280" t="inlineStr">
        <is>
          <t>2272652830002656</t>
        </is>
      </c>
      <c r="AZ1280" t="inlineStr">
        <is>
          <t>BOOK</t>
        </is>
      </c>
      <c r="BB1280" t="inlineStr">
        <is>
          <t>9780398057701</t>
        </is>
      </c>
      <c r="BC1280" t="inlineStr">
        <is>
          <t>32285001404929</t>
        </is>
      </c>
      <c r="BD1280" t="inlineStr">
        <is>
          <t>893340859</t>
        </is>
      </c>
    </row>
    <row r="1281">
      <c r="A1281" t="inlineStr">
        <is>
          <t>No</t>
        </is>
      </c>
      <c r="B1281" t="inlineStr">
        <is>
          <t>HV881 .T67 1997</t>
        </is>
      </c>
      <c r="C1281" t="inlineStr">
        <is>
          <t>0                      HV 0881000T  67          1997</t>
        </is>
      </c>
      <c r="D1281" t="inlineStr">
        <is>
          <t>Orphans of the living : stories of America's children in foster care / Jennifer Toth.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Toth, Jennifer.</t>
        </is>
      </c>
      <c r="L1281" t="inlineStr">
        <is>
          <t>New York : Simon &amp; Schuster, c1997.</t>
        </is>
      </c>
      <c r="M1281" t="inlineStr">
        <is>
          <t>1997</t>
        </is>
      </c>
      <c r="O1281" t="inlineStr">
        <is>
          <t>eng</t>
        </is>
      </c>
      <c r="P1281" t="inlineStr">
        <is>
          <t>nyu</t>
        </is>
      </c>
      <c r="R1281" t="inlineStr">
        <is>
          <t xml:space="preserve">HV </t>
        </is>
      </c>
      <c r="S1281" t="n">
        <v>7</v>
      </c>
      <c r="T1281" t="n">
        <v>7</v>
      </c>
      <c r="U1281" t="inlineStr">
        <is>
          <t>2007-03-17</t>
        </is>
      </c>
      <c r="V1281" t="inlineStr">
        <is>
          <t>2007-03-17</t>
        </is>
      </c>
      <c r="W1281" t="inlineStr">
        <is>
          <t>1997-07-15</t>
        </is>
      </c>
      <c r="X1281" t="inlineStr">
        <is>
          <t>1997-07-15</t>
        </is>
      </c>
      <c r="Y1281" t="n">
        <v>1035</v>
      </c>
      <c r="Z1281" t="n">
        <v>1009</v>
      </c>
      <c r="AA1281" t="n">
        <v>1120</v>
      </c>
      <c r="AB1281" t="n">
        <v>15</v>
      </c>
      <c r="AC1281" t="n">
        <v>15</v>
      </c>
      <c r="AD1281" t="n">
        <v>28</v>
      </c>
      <c r="AE1281" t="n">
        <v>29</v>
      </c>
      <c r="AF1281" t="n">
        <v>9</v>
      </c>
      <c r="AG1281" t="n">
        <v>10</v>
      </c>
      <c r="AH1281" t="n">
        <v>5</v>
      </c>
      <c r="AI1281" t="n">
        <v>5</v>
      </c>
      <c r="AJ1281" t="n">
        <v>12</v>
      </c>
      <c r="AK1281" t="n">
        <v>12</v>
      </c>
      <c r="AL1281" t="n">
        <v>9</v>
      </c>
      <c r="AM1281" t="n">
        <v>9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No</t>
        </is>
      </c>
      <c r="AS1281">
        <f>HYPERLINK("https://creighton-primo.hosted.exlibrisgroup.com/primo-explore/search?tab=default_tab&amp;search_scope=EVERYTHING&amp;vid=01CRU&amp;lang=en_US&amp;offset=0&amp;query=any,contains,991002751159702656","Catalog Record")</f>
        <v/>
      </c>
      <c r="AT1281">
        <f>HYPERLINK("http://www.worldcat.org/oclc/36103961","WorldCat Record")</f>
        <v/>
      </c>
      <c r="AU1281" t="inlineStr">
        <is>
          <t>40251751:eng</t>
        </is>
      </c>
      <c r="AV1281" t="inlineStr">
        <is>
          <t>36103961</t>
        </is>
      </c>
      <c r="AW1281" t="inlineStr">
        <is>
          <t>991002751159702656</t>
        </is>
      </c>
      <c r="AX1281" t="inlineStr">
        <is>
          <t>991002751159702656</t>
        </is>
      </c>
      <c r="AY1281" t="inlineStr">
        <is>
          <t>2263222770002656</t>
        </is>
      </c>
      <c r="AZ1281" t="inlineStr">
        <is>
          <t>BOOK</t>
        </is>
      </c>
      <c r="BB1281" t="inlineStr">
        <is>
          <t>9780684800974</t>
        </is>
      </c>
      <c r="BC1281" t="inlineStr">
        <is>
          <t>32285002882222</t>
        </is>
      </c>
      <c r="BD1281" t="inlineStr">
        <is>
          <t>893804984</t>
        </is>
      </c>
    </row>
    <row r="1282">
      <c r="A1282" t="inlineStr">
        <is>
          <t>No</t>
        </is>
      </c>
      <c r="B1282" t="inlineStr">
        <is>
          <t>HV881 .W57</t>
        </is>
      </c>
      <c r="C1282" t="inlineStr">
        <is>
          <t>0                      HV 0881000W  57</t>
        </is>
      </c>
      <c r="D1282" t="inlineStr">
        <is>
          <t>Independent adoptions, a follow up study by Helen L. Witmer [and others]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Witmer, Helen Leland.</t>
        </is>
      </c>
      <c r="L1282" t="inlineStr">
        <is>
          <t>New York, Russell Sage Foundation, 1963.</t>
        </is>
      </c>
      <c r="M1282" t="inlineStr">
        <is>
          <t>1963</t>
        </is>
      </c>
      <c r="O1282" t="inlineStr">
        <is>
          <t>eng</t>
        </is>
      </c>
      <c r="P1282" t="inlineStr">
        <is>
          <t>nyu</t>
        </is>
      </c>
      <c r="R1282" t="inlineStr">
        <is>
          <t xml:space="preserve">HV </t>
        </is>
      </c>
      <c r="S1282" t="n">
        <v>11</v>
      </c>
      <c r="T1282" t="n">
        <v>11</v>
      </c>
      <c r="U1282" t="inlineStr">
        <is>
          <t>1995-12-09</t>
        </is>
      </c>
      <c r="V1282" t="inlineStr">
        <is>
          <t>1995-12-09</t>
        </is>
      </c>
      <c r="W1282" t="inlineStr">
        <is>
          <t>1991-12-16</t>
        </is>
      </c>
      <c r="X1282" t="inlineStr">
        <is>
          <t>1991-12-16</t>
        </is>
      </c>
      <c r="Y1282" t="n">
        <v>413</v>
      </c>
      <c r="Z1282" t="n">
        <v>357</v>
      </c>
      <c r="AA1282" t="n">
        <v>390</v>
      </c>
      <c r="AB1282" t="n">
        <v>7</v>
      </c>
      <c r="AC1282" t="n">
        <v>7</v>
      </c>
      <c r="AD1282" t="n">
        <v>14</v>
      </c>
      <c r="AE1282" t="n">
        <v>19</v>
      </c>
      <c r="AF1282" t="n">
        <v>2</v>
      </c>
      <c r="AG1282" t="n">
        <v>3</v>
      </c>
      <c r="AH1282" t="n">
        <v>2</v>
      </c>
      <c r="AI1282" t="n">
        <v>2</v>
      </c>
      <c r="AJ1282" t="n">
        <v>3</v>
      </c>
      <c r="AK1282" t="n">
        <v>3</v>
      </c>
      <c r="AL1282" t="n">
        <v>5</v>
      </c>
      <c r="AM1282" t="n">
        <v>5</v>
      </c>
      <c r="AN1282" t="n">
        <v>2</v>
      </c>
      <c r="AO1282" t="n">
        <v>6</v>
      </c>
      <c r="AP1282" t="inlineStr">
        <is>
          <t>Yes</t>
        </is>
      </c>
      <c r="AQ1282" t="inlineStr">
        <is>
          <t>No</t>
        </is>
      </c>
      <c r="AR1282">
        <f>HYPERLINK("http://catalog.hathitrust.org/Record/001119982","HathiTrust Record")</f>
        <v/>
      </c>
      <c r="AS1282">
        <f>HYPERLINK("https://creighton-primo.hosted.exlibrisgroup.com/primo-explore/search?tab=default_tab&amp;search_scope=EVERYTHING&amp;vid=01CRU&amp;lang=en_US&amp;offset=0&amp;query=any,contains,991002072639702656","Catalog Record")</f>
        <v/>
      </c>
      <c r="AT1282">
        <f>HYPERLINK("http://www.worldcat.org/oclc/263673","WorldCat Record")</f>
        <v/>
      </c>
      <c r="AU1282" t="inlineStr">
        <is>
          <t>309088775:eng</t>
        </is>
      </c>
      <c r="AV1282" t="inlineStr">
        <is>
          <t>263673</t>
        </is>
      </c>
      <c r="AW1282" t="inlineStr">
        <is>
          <t>991002072639702656</t>
        </is>
      </c>
      <c r="AX1282" t="inlineStr">
        <is>
          <t>991002072639702656</t>
        </is>
      </c>
      <c r="AY1282" t="inlineStr">
        <is>
          <t>2268664640002656</t>
        </is>
      </c>
      <c r="AZ1282" t="inlineStr">
        <is>
          <t>BOOK</t>
        </is>
      </c>
      <c r="BC1282" t="inlineStr">
        <is>
          <t>32285000906205</t>
        </is>
      </c>
      <c r="BD1282" t="inlineStr">
        <is>
          <t>893892097</t>
        </is>
      </c>
    </row>
    <row r="1283">
      <c r="A1283" t="inlineStr">
        <is>
          <t>No</t>
        </is>
      </c>
      <c r="B1283" t="inlineStr">
        <is>
          <t>HV8836 .V4</t>
        </is>
      </c>
      <c r="C1283" t="inlineStr">
        <is>
          <t>0                      HV 8836000V  4</t>
        </is>
      </c>
      <c r="D1283" t="inlineStr">
        <is>
          <t>Problems of homosexuality in corrections, by Clyde B. Vedder and Patricia G. King.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Vedder, Clyde B. (Clyde Bennett), 1903-</t>
        </is>
      </c>
      <c r="L1283" t="inlineStr">
        <is>
          <t>Springfield, Ill., C. C. Thomas [1967]</t>
        </is>
      </c>
      <c r="M1283" t="inlineStr">
        <is>
          <t>1967</t>
        </is>
      </c>
      <c r="O1283" t="inlineStr">
        <is>
          <t>eng</t>
        </is>
      </c>
      <c r="P1283" t="inlineStr">
        <is>
          <t>ilu</t>
        </is>
      </c>
      <c r="R1283" t="inlineStr">
        <is>
          <t xml:space="preserve">HV </t>
        </is>
      </c>
      <c r="S1283" t="n">
        <v>2</v>
      </c>
      <c r="T1283" t="n">
        <v>2</v>
      </c>
      <c r="U1283" t="inlineStr">
        <is>
          <t>2007-09-23</t>
        </is>
      </c>
      <c r="V1283" t="inlineStr">
        <is>
          <t>2007-09-23</t>
        </is>
      </c>
      <c r="W1283" t="inlineStr">
        <is>
          <t>1997-08-25</t>
        </is>
      </c>
      <c r="X1283" t="inlineStr">
        <is>
          <t>1997-08-25</t>
        </is>
      </c>
      <c r="Y1283" t="n">
        <v>295</v>
      </c>
      <c r="Z1283" t="n">
        <v>261</v>
      </c>
      <c r="AA1283" t="n">
        <v>262</v>
      </c>
      <c r="AB1283" t="n">
        <v>4</v>
      </c>
      <c r="AC1283" t="n">
        <v>4</v>
      </c>
      <c r="AD1283" t="n">
        <v>16</v>
      </c>
      <c r="AE1283" t="n">
        <v>16</v>
      </c>
      <c r="AF1283" t="n">
        <v>2</v>
      </c>
      <c r="AG1283" t="n">
        <v>2</v>
      </c>
      <c r="AH1283" t="n">
        <v>4</v>
      </c>
      <c r="AI1283" t="n">
        <v>4</v>
      </c>
      <c r="AJ1283" t="n">
        <v>5</v>
      </c>
      <c r="AK1283" t="n">
        <v>5</v>
      </c>
      <c r="AL1283" t="n">
        <v>2</v>
      </c>
      <c r="AM1283" t="n">
        <v>2</v>
      </c>
      <c r="AN1283" t="n">
        <v>6</v>
      </c>
      <c r="AO1283" t="n">
        <v>6</v>
      </c>
      <c r="AP1283" t="inlineStr">
        <is>
          <t>No</t>
        </is>
      </c>
      <c r="AQ1283" t="inlineStr">
        <is>
          <t>Yes</t>
        </is>
      </c>
      <c r="AR1283">
        <f>HYPERLINK("http://catalog.hathitrust.org/Record/007478287","HathiTrust Record")</f>
        <v/>
      </c>
      <c r="AS1283">
        <f>HYPERLINK("https://creighton-primo.hosted.exlibrisgroup.com/primo-explore/search?tab=default_tab&amp;search_scope=EVERYTHING&amp;vid=01CRU&amp;lang=en_US&amp;offset=0&amp;query=any,contains,991002084399702656","Catalog Record")</f>
        <v/>
      </c>
      <c r="AT1283">
        <f>HYPERLINK("http://www.worldcat.org/oclc/265049","WorldCat Record")</f>
        <v/>
      </c>
      <c r="AU1283" t="inlineStr">
        <is>
          <t>1381332:eng</t>
        </is>
      </c>
      <c r="AV1283" t="inlineStr">
        <is>
          <t>265049</t>
        </is>
      </c>
      <c r="AW1283" t="inlineStr">
        <is>
          <t>991002084399702656</t>
        </is>
      </c>
      <c r="AX1283" t="inlineStr">
        <is>
          <t>991002084399702656</t>
        </is>
      </c>
      <c r="AY1283" t="inlineStr">
        <is>
          <t>2265238880002656</t>
        </is>
      </c>
      <c r="AZ1283" t="inlineStr">
        <is>
          <t>BOOK</t>
        </is>
      </c>
      <c r="BC1283" t="inlineStr">
        <is>
          <t>32285003159190</t>
        </is>
      </c>
      <c r="BD1283" t="inlineStr">
        <is>
          <t>893590896</t>
        </is>
      </c>
    </row>
    <row r="1284">
      <c r="A1284" t="inlineStr">
        <is>
          <t>No</t>
        </is>
      </c>
      <c r="B1284" t="inlineStr">
        <is>
          <t>HV8836 .W66 1982</t>
        </is>
      </c>
      <c r="C1284" t="inlineStr">
        <is>
          <t>0                      HV 8836000W  66          1982</t>
        </is>
      </c>
      <c r="D1284" t="inlineStr">
        <is>
          <t>Men behind bars : sexual exploitation in prison / Wayne S. Wooden and Jay Parker.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Wooden, Wayne S.</t>
        </is>
      </c>
      <c r="L1284" t="inlineStr">
        <is>
          <t>New York : Plenum Press, c1982.</t>
        </is>
      </c>
      <c r="M1284" t="inlineStr">
        <is>
          <t>1982</t>
        </is>
      </c>
      <c r="O1284" t="inlineStr">
        <is>
          <t>eng</t>
        </is>
      </c>
      <c r="P1284" t="inlineStr">
        <is>
          <t>nyu</t>
        </is>
      </c>
      <c r="R1284" t="inlineStr">
        <is>
          <t xml:space="preserve">HV </t>
        </is>
      </c>
      <c r="S1284" t="n">
        <v>10</v>
      </c>
      <c r="T1284" t="n">
        <v>10</v>
      </c>
      <c r="U1284" t="inlineStr">
        <is>
          <t>2007-09-23</t>
        </is>
      </c>
      <c r="V1284" t="inlineStr">
        <is>
          <t>2007-09-23</t>
        </is>
      </c>
      <c r="W1284" t="inlineStr">
        <is>
          <t>1990-06-07</t>
        </is>
      </c>
      <c r="X1284" t="inlineStr">
        <is>
          <t>1990-06-07</t>
        </is>
      </c>
      <c r="Y1284" t="n">
        <v>614</v>
      </c>
      <c r="Z1284" t="n">
        <v>523</v>
      </c>
      <c r="AA1284" t="n">
        <v>566</v>
      </c>
      <c r="AB1284" t="n">
        <v>5</v>
      </c>
      <c r="AC1284" t="n">
        <v>5</v>
      </c>
      <c r="AD1284" t="n">
        <v>29</v>
      </c>
      <c r="AE1284" t="n">
        <v>30</v>
      </c>
      <c r="AF1284" t="n">
        <v>9</v>
      </c>
      <c r="AG1284" t="n">
        <v>9</v>
      </c>
      <c r="AH1284" t="n">
        <v>5</v>
      </c>
      <c r="AI1284" t="n">
        <v>5</v>
      </c>
      <c r="AJ1284" t="n">
        <v>13</v>
      </c>
      <c r="AK1284" t="n">
        <v>14</v>
      </c>
      <c r="AL1284" t="n">
        <v>3</v>
      </c>
      <c r="AM1284" t="n">
        <v>3</v>
      </c>
      <c r="AN1284" t="n">
        <v>5</v>
      </c>
      <c r="AO1284" t="n">
        <v>5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HYPERLINK("http://catalog.hathitrust.org/Record/000269780","HathiTrust Record")</f>
        <v/>
      </c>
      <c r="AS1284">
        <f>HYPERLINK("https://creighton-primo.hosted.exlibrisgroup.com/primo-explore/search?tab=default_tab&amp;search_scope=EVERYTHING&amp;vid=01CRU&amp;lang=en_US&amp;offset=0&amp;query=any,contains,991000024819702656","Catalog Record")</f>
        <v/>
      </c>
      <c r="AT1284">
        <f>HYPERLINK("http://www.worldcat.org/oclc/8588091","WorldCat Record")</f>
        <v/>
      </c>
      <c r="AU1284" t="inlineStr">
        <is>
          <t>438603:eng</t>
        </is>
      </c>
      <c r="AV1284" t="inlineStr">
        <is>
          <t>8588091</t>
        </is>
      </c>
      <c r="AW1284" t="inlineStr">
        <is>
          <t>991000024819702656</t>
        </is>
      </c>
      <c r="AX1284" t="inlineStr">
        <is>
          <t>991000024819702656</t>
        </is>
      </c>
      <c r="AY1284" t="inlineStr">
        <is>
          <t>2258122240002656</t>
        </is>
      </c>
      <c r="AZ1284" t="inlineStr">
        <is>
          <t>BOOK</t>
        </is>
      </c>
      <c r="BB1284" t="inlineStr">
        <is>
          <t>9780306410741</t>
        </is>
      </c>
      <c r="BC1284" t="inlineStr">
        <is>
          <t>32285000183771</t>
        </is>
      </c>
      <c r="BD1284" t="inlineStr">
        <is>
          <t>893230816</t>
        </is>
      </c>
    </row>
    <row r="1285">
      <c r="A1285" t="inlineStr">
        <is>
          <t>No</t>
        </is>
      </c>
      <c r="B1285" t="inlineStr">
        <is>
          <t>HV8843 .P76</t>
        </is>
      </c>
      <c r="C1285" t="inlineStr">
        <is>
          <t>0                      HV 8843000P  76</t>
        </is>
      </c>
      <c r="D1285" t="inlineStr">
        <is>
          <t>Prison homosexuality : myth and reality / Alice M. Propper.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Propper, Alice M.</t>
        </is>
      </c>
      <c r="L1285" t="inlineStr">
        <is>
          <t>Lexington, Mass. : Lexington Books, c1981.</t>
        </is>
      </c>
      <c r="M1285" t="inlineStr">
        <is>
          <t>1981</t>
        </is>
      </c>
      <c r="O1285" t="inlineStr">
        <is>
          <t>eng</t>
        </is>
      </c>
      <c r="P1285" t="inlineStr">
        <is>
          <t>mau</t>
        </is>
      </c>
      <c r="R1285" t="inlineStr">
        <is>
          <t xml:space="preserve">HV </t>
        </is>
      </c>
      <c r="S1285" t="n">
        <v>11</v>
      </c>
      <c r="T1285" t="n">
        <v>11</v>
      </c>
      <c r="U1285" t="inlineStr">
        <is>
          <t>2007-09-23</t>
        </is>
      </c>
      <c r="V1285" t="inlineStr">
        <is>
          <t>2007-09-23</t>
        </is>
      </c>
      <c r="W1285" t="inlineStr">
        <is>
          <t>1992-07-14</t>
        </is>
      </c>
      <c r="X1285" t="inlineStr">
        <is>
          <t>1992-07-14</t>
        </is>
      </c>
      <c r="Y1285" t="n">
        <v>377</v>
      </c>
      <c r="Z1285" t="n">
        <v>315</v>
      </c>
      <c r="AA1285" t="n">
        <v>316</v>
      </c>
      <c r="AB1285" t="n">
        <v>3</v>
      </c>
      <c r="AC1285" t="n">
        <v>3</v>
      </c>
      <c r="AD1285" t="n">
        <v>16</v>
      </c>
      <c r="AE1285" t="n">
        <v>16</v>
      </c>
      <c r="AF1285" t="n">
        <v>5</v>
      </c>
      <c r="AG1285" t="n">
        <v>5</v>
      </c>
      <c r="AH1285" t="n">
        <v>4</v>
      </c>
      <c r="AI1285" t="n">
        <v>4</v>
      </c>
      <c r="AJ1285" t="n">
        <v>5</v>
      </c>
      <c r="AK1285" t="n">
        <v>5</v>
      </c>
      <c r="AL1285" t="n">
        <v>2</v>
      </c>
      <c r="AM1285" t="n">
        <v>2</v>
      </c>
      <c r="AN1285" t="n">
        <v>3</v>
      </c>
      <c r="AO1285" t="n">
        <v>3</v>
      </c>
      <c r="AP1285" t="inlineStr">
        <is>
          <t>No</t>
        </is>
      </c>
      <c r="AQ1285" t="inlineStr">
        <is>
          <t>No</t>
        </is>
      </c>
      <c r="AS1285">
        <f>HYPERLINK("https://creighton-primo.hosted.exlibrisgroup.com/primo-explore/search?tab=default_tab&amp;search_scope=EVERYTHING&amp;vid=01CRU&amp;lang=en_US&amp;offset=0&amp;query=any,contains,991005132599702656","Catalog Record")</f>
        <v/>
      </c>
      <c r="AT1285">
        <f>HYPERLINK("http://www.worldcat.org/oclc/7573664","WorldCat Record")</f>
        <v/>
      </c>
      <c r="AU1285" t="inlineStr">
        <is>
          <t>793913120:eng</t>
        </is>
      </c>
      <c r="AV1285" t="inlineStr">
        <is>
          <t>7573664</t>
        </is>
      </c>
      <c r="AW1285" t="inlineStr">
        <is>
          <t>991005132599702656</t>
        </is>
      </c>
      <c r="AX1285" t="inlineStr">
        <is>
          <t>991005132599702656</t>
        </is>
      </c>
      <c r="AY1285" t="inlineStr">
        <is>
          <t>2271543770002656</t>
        </is>
      </c>
      <c r="AZ1285" t="inlineStr">
        <is>
          <t>BOOK</t>
        </is>
      </c>
      <c r="BB1285" t="inlineStr">
        <is>
          <t>9780669036282</t>
        </is>
      </c>
      <c r="BC1285" t="inlineStr">
        <is>
          <t>32285001183010</t>
        </is>
      </c>
      <c r="BD1285" t="inlineStr">
        <is>
          <t>893688641</t>
        </is>
      </c>
    </row>
    <row r="1286">
      <c r="A1286" t="inlineStr">
        <is>
          <t>No</t>
        </is>
      </c>
      <c r="B1286" t="inlineStr">
        <is>
          <t>HV885.N5 B46 2001</t>
        </is>
      </c>
      <c r="C1286" t="inlineStr">
        <is>
          <t>0                      HV 0885000N  5                  B  46          2001</t>
        </is>
      </c>
      <c r="D1286" t="inlineStr">
        <is>
          <t>The lost children of Wilder : the epic struggle to change foster care / Nina Bernstein.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Bernstein, Nina, 1949-</t>
        </is>
      </c>
      <c r="L1286" t="inlineStr">
        <is>
          <t>New York : Pantheon Books c2001.</t>
        </is>
      </c>
      <c r="M1286" t="inlineStr">
        <is>
          <t>2001</t>
        </is>
      </c>
      <c r="N1286" t="inlineStr">
        <is>
          <t>1st ed.</t>
        </is>
      </c>
      <c r="O1286" t="inlineStr">
        <is>
          <t>eng</t>
        </is>
      </c>
      <c r="P1286" t="inlineStr">
        <is>
          <t>nyu</t>
        </is>
      </c>
      <c r="R1286" t="inlineStr">
        <is>
          <t xml:space="preserve">HV </t>
        </is>
      </c>
      <c r="S1286" t="n">
        <v>4</v>
      </c>
      <c r="T1286" t="n">
        <v>4</v>
      </c>
      <c r="U1286" t="inlineStr">
        <is>
          <t>2007-03-17</t>
        </is>
      </c>
      <c r="V1286" t="inlineStr">
        <is>
          <t>2007-03-17</t>
        </is>
      </c>
      <c r="W1286" t="inlineStr">
        <is>
          <t>2001-08-14</t>
        </is>
      </c>
      <c r="X1286" t="inlineStr">
        <is>
          <t>2001-08-14</t>
        </is>
      </c>
      <c r="Y1286" t="n">
        <v>1093</v>
      </c>
      <c r="Z1286" t="n">
        <v>1067</v>
      </c>
      <c r="AA1286" t="n">
        <v>1361</v>
      </c>
      <c r="AB1286" t="n">
        <v>9</v>
      </c>
      <c r="AC1286" t="n">
        <v>15</v>
      </c>
      <c r="AD1286" t="n">
        <v>34</v>
      </c>
      <c r="AE1286" t="n">
        <v>49</v>
      </c>
      <c r="AF1286" t="n">
        <v>10</v>
      </c>
      <c r="AG1286" t="n">
        <v>14</v>
      </c>
      <c r="AH1286" t="n">
        <v>4</v>
      </c>
      <c r="AI1286" t="n">
        <v>6</v>
      </c>
      <c r="AJ1286" t="n">
        <v>9</v>
      </c>
      <c r="AK1286" t="n">
        <v>14</v>
      </c>
      <c r="AL1286" t="n">
        <v>7</v>
      </c>
      <c r="AM1286" t="n">
        <v>11</v>
      </c>
      <c r="AN1286" t="n">
        <v>9</v>
      </c>
      <c r="AO1286" t="n">
        <v>10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HYPERLINK("https://creighton-primo.hosted.exlibrisgroup.com/primo-explore/search?tab=default_tab&amp;search_scope=EVERYTHING&amp;vid=01CRU&amp;lang=en_US&amp;offset=0&amp;query=any,contains,991003591189702656","Catalog Record")</f>
        <v/>
      </c>
      <c r="AT1286">
        <f>HYPERLINK("http://www.worldcat.org/oclc/44548986","WorldCat Record")</f>
        <v/>
      </c>
      <c r="AU1286" t="inlineStr">
        <is>
          <t>38997965:eng</t>
        </is>
      </c>
      <c r="AV1286" t="inlineStr">
        <is>
          <t>44548986</t>
        </is>
      </c>
      <c r="AW1286" t="inlineStr">
        <is>
          <t>991003591189702656</t>
        </is>
      </c>
      <c r="AX1286" t="inlineStr">
        <is>
          <t>991003591189702656</t>
        </is>
      </c>
      <c r="AY1286" t="inlineStr">
        <is>
          <t>2261565700002656</t>
        </is>
      </c>
      <c r="AZ1286" t="inlineStr">
        <is>
          <t>BOOK</t>
        </is>
      </c>
      <c r="BB1286" t="inlineStr">
        <is>
          <t>9780679439790</t>
        </is>
      </c>
      <c r="BC1286" t="inlineStr">
        <is>
          <t>32285004377585</t>
        </is>
      </c>
      <c r="BD1286" t="inlineStr">
        <is>
          <t>893330522</t>
        </is>
      </c>
    </row>
    <row r="1287">
      <c r="A1287" t="inlineStr">
        <is>
          <t>No</t>
        </is>
      </c>
      <c r="B1287" t="inlineStr">
        <is>
          <t>HV885.N5 R574 1988</t>
        </is>
      </c>
      <c r="C1287" t="inlineStr">
        <is>
          <t>0                      HV 0885000N  5                  R  574         1988</t>
        </is>
      </c>
      <c r="D1287" t="inlineStr">
        <is>
          <t>Sometimes God has a kid's face : letters from Covenant House / Bruce Ritter.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Ritter, Bruce, 1927-</t>
        </is>
      </c>
      <c r="L1287" t="inlineStr">
        <is>
          <t>[New York] : Covenant House, 1988.</t>
        </is>
      </c>
      <c r="M1287" t="inlineStr">
        <is>
          <t>1988</t>
        </is>
      </c>
      <c r="O1287" t="inlineStr">
        <is>
          <t>eng</t>
        </is>
      </c>
      <c r="P1287" t="inlineStr">
        <is>
          <t>nyu</t>
        </is>
      </c>
      <c r="R1287" t="inlineStr">
        <is>
          <t xml:space="preserve">HV </t>
        </is>
      </c>
      <c r="S1287" t="n">
        <v>4</v>
      </c>
      <c r="T1287" t="n">
        <v>4</v>
      </c>
      <c r="U1287" t="inlineStr">
        <is>
          <t>2002-11-04</t>
        </is>
      </c>
      <c r="V1287" t="inlineStr">
        <is>
          <t>2002-11-04</t>
        </is>
      </c>
      <c r="W1287" t="inlineStr">
        <is>
          <t>1991-12-09</t>
        </is>
      </c>
      <c r="X1287" t="inlineStr">
        <is>
          <t>1991-12-09</t>
        </is>
      </c>
      <c r="Y1287" t="n">
        <v>657</v>
      </c>
      <c r="Z1287" t="n">
        <v>645</v>
      </c>
      <c r="AA1287" t="n">
        <v>935</v>
      </c>
      <c r="AB1287" t="n">
        <v>11</v>
      </c>
      <c r="AC1287" t="n">
        <v>12</v>
      </c>
      <c r="AD1287" t="n">
        <v>24</v>
      </c>
      <c r="AE1287" t="n">
        <v>29</v>
      </c>
      <c r="AF1287" t="n">
        <v>6</v>
      </c>
      <c r="AG1287" t="n">
        <v>8</v>
      </c>
      <c r="AH1287" t="n">
        <v>2</v>
      </c>
      <c r="AI1287" t="n">
        <v>3</v>
      </c>
      <c r="AJ1287" t="n">
        <v>11</v>
      </c>
      <c r="AK1287" t="n">
        <v>14</v>
      </c>
      <c r="AL1287" t="n">
        <v>9</v>
      </c>
      <c r="AM1287" t="n">
        <v>9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No</t>
        </is>
      </c>
      <c r="AS1287">
        <f>HYPERLINK("https://creighton-primo.hosted.exlibrisgroup.com/primo-explore/search?tab=default_tab&amp;search_scope=EVERYTHING&amp;vid=01CRU&amp;lang=en_US&amp;offset=0&amp;query=any,contains,991001352879702656","Catalog Record")</f>
        <v/>
      </c>
      <c r="AT1287">
        <f>HYPERLINK("http://www.worldcat.org/oclc/18455432","WorldCat Record")</f>
        <v/>
      </c>
      <c r="AU1287" t="inlineStr">
        <is>
          <t>2161562:eng</t>
        </is>
      </c>
      <c r="AV1287" t="inlineStr">
        <is>
          <t>18455432</t>
        </is>
      </c>
      <c r="AW1287" t="inlineStr">
        <is>
          <t>991001352879702656</t>
        </is>
      </c>
      <c r="AX1287" t="inlineStr">
        <is>
          <t>991001352879702656</t>
        </is>
      </c>
      <c r="AY1287" t="inlineStr">
        <is>
          <t>2269592190002656</t>
        </is>
      </c>
      <c r="AZ1287" t="inlineStr">
        <is>
          <t>BOOK</t>
        </is>
      </c>
      <c r="BC1287" t="inlineStr">
        <is>
          <t>32285000873025</t>
        </is>
      </c>
      <c r="BD1287" t="inlineStr">
        <is>
          <t>893797507</t>
        </is>
      </c>
    </row>
    <row r="1288">
      <c r="A1288" t="inlineStr">
        <is>
          <t>No</t>
        </is>
      </c>
      <c r="B1288" t="inlineStr">
        <is>
          <t>HV8855 .A84 2010</t>
        </is>
      </c>
      <c r="C1288" t="inlineStr">
        <is>
          <t>0                      HV 8855000A  84          2010</t>
        </is>
      </c>
      <c r="D1288" t="inlineStr">
        <is>
          <t>Dress behind bars : prison clothing as criminality / Juliet Ash.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K1288" t="inlineStr">
        <is>
          <t>Ash, Juliet, 1949-</t>
        </is>
      </c>
      <c r="L1288" t="inlineStr">
        <is>
          <t>London ; New York : I.B. Tauris ; New York, N.Y. : Distributed in the U.S. by Palgrave Macmillan, 2010.</t>
        </is>
      </c>
      <c r="M1288" t="inlineStr">
        <is>
          <t>2010</t>
        </is>
      </c>
      <c r="O1288" t="inlineStr">
        <is>
          <t>eng</t>
        </is>
      </c>
      <c r="P1288" t="inlineStr">
        <is>
          <t>enk</t>
        </is>
      </c>
      <c r="R1288" t="inlineStr">
        <is>
          <t xml:space="preserve">HV </t>
        </is>
      </c>
      <c r="S1288" t="n">
        <v>1</v>
      </c>
      <c r="T1288" t="n">
        <v>1</v>
      </c>
      <c r="U1288" t="inlineStr">
        <is>
          <t>2010-12-01</t>
        </is>
      </c>
      <c r="V1288" t="inlineStr">
        <is>
          <t>2010-12-01</t>
        </is>
      </c>
      <c r="W1288" t="inlineStr">
        <is>
          <t>2010-12-01</t>
        </is>
      </c>
      <c r="X1288" t="inlineStr">
        <is>
          <t>2010-12-01</t>
        </is>
      </c>
      <c r="Y1288" t="n">
        <v>320</v>
      </c>
      <c r="Z1288" t="n">
        <v>253</v>
      </c>
      <c r="AA1288" t="n">
        <v>789</v>
      </c>
      <c r="AB1288" t="n">
        <v>2</v>
      </c>
      <c r="AC1288" t="n">
        <v>14</v>
      </c>
      <c r="AD1288" t="n">
        <v>9</v>
      </c>
      <c r="AE1288" t="n">
        <v>21</v>
      </c>
      <c r="AF1288" t="n">
        <v>3</v>
      </c>
      <c r="AG1288" t="n">
        <v>7</v>
      </c>
      <c r="AH1288" t="n">
        <v>3</v>
      </c>
      <c r="AI1288" t="n">
        <v>4</v>
      </c>
      <c r="AJ1288" t="n">
        <v>6</v>
      </c>
      <c r="AK1288" t="n">
        <v>8</v>
      </c>
      <c r="AL1288" t="n">
        <v>1</v>
      </c>
      <c r="AM1288" t="n">
        <v>9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HYPERLINK("http://catalog.hathitrust.org/Record/007385230","HathiTrust Record")</f>
        <v/>
      </c>
      <c r="AS1288">
        <f>HYPERLINK("https://creighton-primo.hosted.exlibrisgroup.com/primo-explore/search?tab=default_tab&amp;search_scope=EVERYTHING&amp;vid=01CRU&amp;lang=en_US&amp;offset=0&amp;query=any,contains,991000213679702656","Catalog Record")</f>
        <v/>
      </c>
      <c r="AT1288">
        <f>HYPERLINK("http://www.worldcat.org/oclc/432408598","WorldCat Record")</f>
        <v/>
      </c>
      <c r="AU1288" t="inlineStr">
        <is>
          <t>483394723:eng</t>
        </is>
      </c>
      <c r="AV1288" t="inlineStr">
        <is>
          <t>432408598</t>
        </is>
      </c>
      <c r="AW1288" t="inlineStr">
        <is>
          <t>991000213679702656</t>
        </is>
      </c>
      <c r="AX1288" t="inlineStr">
        <is>
          <t>991000213679702656</t>
        </is>
      </c>
      <c r="AY1288" t="inlineStr">
        <is>
          <t>2259097500002656</t>
        </is>
      </c>
      <c r="AZ1288" t="inlineStr">
        <is>
          <t>BOOK</t>
        </is>
      </c>
      <c r="BB1288" t="inlineStr">
        <is>
          <t>9781850438939</t>
        </is>
      </c>
      <c r="BC1288" t="inlineStr">
        <is>
          <t>32285005608145</t>
        </is>
      </c>
      <c r="BD1288" t="inlineStr">
        <is>
          <t>893345485</t>
        </is>
      </c>
    </row>
    <row r="1289">
      <c r="A1289" t="inlineStr">
        <is>
          <t>No</t>
        </is>
      </c>
      <c r="B1289" t="inlineStr">
        <is>
          <t>HV887.E8 B67 1998</t>
        </is>
      </c>
      <c r="C1289" t="inlineStr">
        <is>
          <t>0                      HV 0887000E  8                  B  67          1998</t>
        </is>
      </c>
      <c r="D1289" t="inlineStr">
        <is>
          <t>The kindness of strangers : the abandonment of children in Western Europe from late antiquity to the Renaissance / John Boswell.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Boswell, John, 1947-1994.</t>
        </is>
      </c>
      <c r="L1289" t="inlineStr">
        <is>
          <t>Chicago : University of Chicago Press, 1998.</t>
        </is>
      </c>
      <c r="M1289" t="inlineStr">
        <is>
          <t>1998</t>
        </is>
      </c>
      <c r="N1289" t="inlineStr">
        <is>
          <t>University of Chicago Press ed.</t>
        </is>
      </c>
      <c r="O1289" t="inlineStr">
        <is>
          <t>eng</t>
        </is>
      </c>
      <c r="P1289" t="inlineStr">
        <is>
          <t>ilu</t>
        </is>
      </c>
      <c r="R1289" t="inlineStr">
        <is>
          <t xml:space="preserve">HV </t>
        </is>
      </c>
      <c r="S1289" t="n">
        <v>5</v>
      </c>
      <c r="T1289" t="n">
        <v>5</v>
      </c>
      <c r="U1289" t="inlineStr">
        <is>
          <t>2006-04-08</t>
        </is>
      </c>
      <c r="V1289" t="inlineStr">
        <is>
          <t>2006-04-08</t>
        </is>
      </c>
      <c r="W1289" t="inlineStr">
        <is>
          <t>1999-09-09</t>
        </is>
      </c>
      <c r="X1289" t="inlineStr">
        <is>
          <t>1999-09-09</t>
        </is>
      </c>
      <c r="Y1289" t="n">
        <v>134</v>
      </c>
      <c r="Z1289" t="n">
        <v>108</v>
      </c>
      <c r="AA1289" t="n">
        <v>109</v>
      </c>
      <c r="AB1289" t="n">
        <v>1</v>
      </c>
      <c r="AC1289" t="n">
        <v>1</v>
      </c>
      <c r="AD1289" t="n">
        <v>4</v>
      </c>
      <c r="AE1289" t="n">
        <v>4</v>
      </c>
      <c r="AF1289" t="n">
        <v>2</v>
      </c>
      <c r="AG1289" t="n">
        <v>2</v>
      </c>
      <c r="AH1289" t="n">
        <v>2</v>
      </c>
      <c r="AI1289" t="n">
        <v>2</v>
      </c>
      <c r="AJ1289" t="n">
        <v>2</v>
      </c>
      <c r="AK1289" t="n">
        <v>2</v>
      </c>
      <c r="AL1289" t="n">
        <v>0</v>
      </c>
      <c r="AM1289" t="n">
        <v>0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No</t>
        </is>
      </c>
      <c r="AS1289">
        <f>HYPERLINK("https://creighton-primo.hosted.exlibrisgroup.com/primo-explore/search?tab=default_tab&amp;search_scope=EVERYTHING&amp;vid=01CRU&amp;lang=en_US&amp;offset=0&amp;query=any,contains,991002929759702656","Catalog Record")</f>
        <v/>
      </c>
      <c r="AT1289">
        <f>HYPERLINK("http://www.worldcat.org/oclc/38948345","WorldCat Record")</f>
        <v/>
      </c>
      <c r="AU1289" t="inlineStr">
        <is>
          <t>9429985302:eng</t>
        </is>
      </c>
      <c r="AV1289" t="inlineStr">
        <is>
          <t>38948345</t>
        </is>
      </c>
      <c r="AW1289" t="inlineStr">
        <is>
          <t>991002929759702656</t>
        </is>
      </c>
      <c r="AX1289" t="inlineStr">
        <is>
          <t>991002929759702656</t>
        </is>
      </c>
      <c r="AY1289" t="inlineStr">
        <is>
          <t>2264851100002656</t>
        </is>
      </c>
      <c r="AZ1289" t="inlineStr">
        <is>
          <t>BOOK</t>
        </is>
      </c>
      <c r="BB1289" t="inlineStr">
        <is>
          <t>9780226067124</t>
        </is>
      </c>
      <c r="BC1289" t="inlineStr">
        <is>
          <t>32285003587465</t>
        </is>
      </c>
      <c r="BD1289" t="inlineStr">
        <is>
          <t>893692181</t>
        </is>
      </c>
    </row>
    <row r="1290">
      <c r="A1290" t="inlineStr">
        <is>
          <t>No</t>
        </is>
      </c>
      <c r="B1290" t="inlineStr">
        <is>
          <t>HV887.V452 C376 1999</t>
        </is>
      </c>
      <c r="C1290" t="inlineStr">
        <is>
          <t>0                      HV 0887000V  452                C  376         1999</t>
        </is>
      </c>
      <c r="D1290" t="inlineStr">
        <is>
          <t>The street is my home : youth and violence in Caracas / Patricia C. Márquez.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Márquez, Patricia C., 1965-</t>
        </is>
      </c>
      <c r="L1290" t="inlineStr">
        <is>
          <t>Stanford, Calif. : Stanford University Press, c1999.</t>
        </is>
      </c>
      <c r="M1290" t="inlineStr">
        <is>
          <t>1999</t>
        </is>
      </c>
      <c r="O1290" t="inlineStr">
        <is>
          <t>eng</t>
        </is>
      </c>
      <c r="P1290" t="inlineStr">
        <is>
          <t>cau</t>
        </is>
      </c>
      <c r="R1290" t="inlineStr">
        <is>
          <t xml:space="preserve">HV </t>
        </is>
      </c>
      <c r="S1290" t="n">
        <v>6</v>
      </c>
      <c r="T1290" t="n">
        <v>6</v>
      </c>
      <c r="U1290" t="inlineStr">
        <is>
          <t>2005-11-10</t>
        </is>
      </c>
      <c r="V1290" t="inlineStr">
        <is>
          <t>2005-11-10</t>
        </is>
      </c>
      <c r="W1290" t="inlineStr">
        <is>
          <t>2000-09-11</t>
        </is>
      </c>
      <c r="X1290" t="inlineStr">
        <is>
          <t>2000-09-11</t>
        </is>
      </c>
      <c r="Y1290" t="n">
        <v>344</v>
      </c>
      <c r="Z1290" t="n">
        <v>278</v>
      </c>
      <c r="AA1290" t="n">
        <v>279</v>
      </c>
      <c r="AB1290" t="n">
        <v>2</v>
      </c>
      <c r="AC1290" t="n">
        <v>2</v>
      </c>
      <c r="AD1290" t="n">
        <v>16</v>
      </c>
      <c r="AE1290" t="n">
        <v>16</v>
      </c>
      <c r="AF1290" t="n">
        <v>5</v>
      </c>
      <c r="AG1290" t="n">
        <v>5</v>
      </c>
      <c r="AH1290" t="n">
        <v>4</v>
      </c>
      <c r="AI1290" t="n">
        <v>4</v>
      </c>
      <c r="AJ1290" t="n">
        <v>12</v>
      </c>
      <c r="AK1290" t="n">
        <v>12</v>
      </c>
      <c r="AL1290" t="n">
        <v>1</v>
      </c>
      <c r="AM1290" t="n">
        <v>1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No</t>
        </is>
      </c>
      <c r="AS1290">
        <f>HYPERLINK("https://creighton-primo.hosted.exlibrisgroup.com/primo-explore/search?tab=default_tab&amp;search_scope=EVERYTHING&amp;vid=01CRU&amp;lang=en_US&amp;offset=0&amp;query=any,contains,991003239999702656","Catalog Record")</f>
        <v/>
      </c>
      <c r="AT1290">
        <f>HYPERLINK("http://www.worldcat.org/oclc/40305572","WorldCat Record")</f>
        <v/>
      </c>
      <c r="AU1290" t="inlineStr">
        <is>
          <t>197101828:eng</t>
        </is>
      </c>
      <c r="AV1290" t="inlineStr">
        <is>
          <t>40305572</t>
        </is>
      </c>
      <c r="AW1290" t="inlineStr">
        <is>
          <t>991003239999702656</t>
        </is>
      </c>
      <c r="AX1290" t="inlineStr">
        <is>
          <t>991003239999702656</t>
        </is>
      </c>
      <c r="AY1290" t="inlineStr">
        <is>
          <t>2262348080002656</t>
        </is>
      </c>
      <c r="AZ1290" t="inlineStr">
        <is>
          <t>BOOK</t>
        </is>
      </c>
      <c r="BB1290" t="inlineStr">
        <is>
          <t>9780804734530</t>
        </is>
      </c>
      <c r="BC1290" t="inlineStr">
        <is>
          <t>32285003760773</t>
        </is>
      </c>
      <c r="BD1290" t="inlineStr">
        <is>
          <t>893336281</t>
        </is>
      </c>
    </row>
    <row r="1291">
      <c r="A1291" t="inlineStr">
        <is>
          <t>No</t>
        </is>
      </c>
      <c r="B1291" t="inlineStr">
        <is>
          <t>HV888 .D35 1982</t>
        </is>
      </c>
      <c r="C1291" t="inlineStr">
        <is>
          <t>0                      HV 0888000D  35          1982</t>
        </is>
      </c>
      <c r="D1291" t="inlineStr">
        <is>
          <t>Children who are different : meeting the challenges of birth defects in society / Rosalyn Benjamin Darling, Jon Darling.</t>
        </is>
      </c>
      <c r="F1291" t="inlineStr">
        <is>
          <t>No</t>
        </is>
      </c>
      <c r="G1291" t="inlineStr">
        <is>
          <t>1</t>
        </is>
      </c>
      <c r="H1291" t="inlineStr">
        <is>
          <t>Yes</t>
        </is>
      </c>
      <c r="I1291" t="inlineStr">
        <is>
          <t>No</t>
        </is>
      </c>
      <c r="J1291" t="inlineStr">
        <is>
          <t>0</t>
        </is>
      </c>
      <c r="K1291" t="inlineStr">
        <is>
          <t>Darling, Rosalyn Benjamin.</t>
        </is>
      </c>
      <c r="L1291" t="inlineStr">
        <is>
          <t>St. Louis : Mosby, 1982.</t>
        </is>
      </c>
      <c r="M1291" t="inlineStr">
        <is>
          <t>1982</t>
        </is>
      </c>
      <c r="O1291" t="inlineStr">
        <is>
          <t>eng</t>
        </is>
      </c>
      <c r="P1291" t="inlineStr">
        <is>
          <t>mou</t>
        </is>
      </c>
      <c r="R1291" t="inlineStr">
        <is>
          <t xml:space="preserve">HV </t>
        </is>
      </c>
      <c r="S1291" t="n">
        <v>12</v>
      </c>
      <c r="T1291" t="n">
        <v>12</v>
      </c>
      <c r="U1291" t="inlineStr">
        <is>
          <t>2002-10-03</t>
        </is>
      </c>
      <c r="V1291" t="inlineStr">
        <is>
          <t>2002-10-03</t>
        </is>
      </c>
      <c r="W1291" t="inlineStr">
        <is>
          <t>1990-02-09</t>
        </is>
      </c>
      <c r="X1291" t="inlineStr">
        <is>
          <t>1990-02-09</t>
        </is>
      </c>
      <c r="Y1291" t="n">
        <v>360</v>
      </c>
      <c r="Z1291" t="n">
        <v>290</v>
      </c>
      <c r="AA1291" t="n">
        <v>292</v>
      </c>
      <c r="AB1291" t="n">
        <v>4</v>
      </c>
      <c r="AC1291" t="n">
        <v>4</v>
      </c>
      <c r="AD1291" t="n">
        <v>9</v>
      </c>
      <c r="AE1291" t="n">
        <v>9</v>
      </c>
      <c r="AF1291" t="n">
        <v>3</v>
      </c>
      <c r="AG1291" t="n">
        <v>3</v>
      </c>
      <c r="AH1291" t="n">
        <v>3</v>
      </c>
      <c r="AI1291" t="n">
        <v>3</v>
      </c>
      <c r="AJ1291" t="n">
        <v>6</v>
      </c>
      <c r="AK1291" t="n">
        <v>6</v>
      </c>
      <c r="AL1291" t="n">
        <v>1</v>
      </c>
      <c r="AM1291" t="n">
        <v>1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Yes</t>
        </is>
      </c>
      <c r="AR1291">
        <f>HYPERLINK("http://catalog.hathitrust.org/Record/000101444","HathiTrust Record")</f>
        <v/>
      </c>
      <c r="AS1291">
        <f>HYPERLINK("https://creighton-primo.hosted.exlibrisgroup.com/primo-explore/search?tab=default_tab&amp;search_scope=EVERYTHING&amp;vid=01CRU&amp;lang=en_US&amp;offset=0&amp;query=any,contains,991005181159702656","Catalog Record")</f>
        <v/>
      </c>
      <c r="AT1291">
        <f>HYPERLINK("http://www.worldcat.org/oclc/7946089","WorldCat Record")</f>
        <v/>
      </c>
      <c r="AU1291" t="inlineStr">
        <is>
          <t>227397747:eng</t>
        </is>
      </c>
      <c r="AV1291" t="inlineStr">
        <is>
          <t>7946089</t>
        </is>
      </c>
      <c r="AW1291" t="inlineStr">
        <is>
          <t>991005181159702656</t>
        </is>
      </c>
      <c r="AX1291" t="inlineStr">
        <is>
          <t>991005181159702656</t>
        </is>
      </c>
      <c r="AY1291" t="inlineStr">
        <is>
          <t>2272729080002656</t>
        </is>
      </c>
      <c r="AZ1291" t="inlineStr">
        <is>
          <t>BOOK</t>
        </is>
      </c>
      <c r="BB1291" t="inlineStr">
        <is>
          <t>9780801612275</t>
        </is>
      </c>
      <c r="BC1291" t="inlineStr">
        <is>
          <t>32285000008895</t>
        </is>
      </c>
      <c r="BD1291" t="inlineStr">
        <is>
          <t>893801874</t>
        </is>
      </c>
    </row>
    <row r="1292">
      <c r="A1292" t="inlineStr">
        <is>
          <t>No</t>
        </is>
      </c>
      <c r="B1292" t="inlineStr">
        <is>
          <t>HV888 .F36 1986</t>
        </is>
      </c>
      <c r="C1292" t="inlineStr">
        <is>
          <t>0                      HV 0888000F  36          1986</t>
        </is>
      </c>
      <c r="D1292" t="inlineStr">
        <is>
          <t>Families of handicapped children : needs and supports across the lifespan / edited by Rebecca R. Fewell and Patricia F. Vadasy.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L1292" t="inlineStr">
        <is>
          <t>Austin, Texas : PRO-ED, c1986.</t>
        </is>
      </c>
      <c r="M1292" t="inlineStr">
        <is>
          <t>1986</t>
        </is>
      </c>
      <c r="O1292" t="inlineStr">
        <is>
          <t>eng</t>
        </is>
      </c>
      <c r="P1292" t="inlineStr">
        <is>
          <t>txu</t>
        </is>
      </c>
      <c r="R1292" t="inlineStr">
        <is>
          <t xml:space="preserve">HV </t>
        </is>
      </c>
      <c r="S1292" t="n">
        <v>6</v>
      </c>
      <c r="T1292" t="n">
        <v>6</v>
      </c>
      <c r="U1292" t="inlineStr">
        <is>
          <t>1994-09-29</t>
        </is>
      </c>
      <c r="V1292" t="inlineStr">
        <is>
          <t>1994-09-29</t>
        </is>
      </c>
      <c r="W1292" t="inlineStr">
        <is>
          <t>1991-12-09</t>
        </is>
      </c>
      <c r="X1292" t="inlineStr">
        <is>
          <t>1991-12-09</t>
        </is>
      </c>
      <c r="Y1292" t="n">
        <v>345</v>
      </c>
      <c r="Z1292" t="n">
        <v>289</v>
      </c>
      <c r="AA1292" t="n">
        <v>311</v>
      </c>
      <c r="AB1292" t="n">
        <v>6</v>
      </c>
      <c r="AC1292" t="n">
        <v>6</v>
      </c>
      <c r="AD1292" t="n">
        <v>16</v>
      </c>
      <c r="AE1292" t="n">
        <v>17</v>
      </c>
      <c r="AF1292" t="n">
        <v>4</v>
      </c>
      <c r="AG1292" t="n">
        <v>5</v>
      </c>
      <c r="AH1292" t="n">
        <v>2</v>
      </c>
      <c r="AI1292" t="n">
        <v>2</v>
      </c>
      <c r="AJ1292" t="n">
        <v>7</v>
      </c>
      <c r="AK1292" t="n">
        <v>7</v>
      </c>
      <c r="AL1292" t="n">
        <v>5</v>
      </c>
      <c r="AM1292" t="n">
        <v>5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Yes</t>
        </is>
      </c>
      <c r="AR1292">
        <f>HYPERLINK("http://catalog.hathitrust.org/Record/000806654","HathiTrust Record")</f>
        <v/>
      </c>
      <c r="AS1292">
        <f>HYPERLINK("https://creighton-primo.hosted.exlibrisgroup.com/primo-explore/search?tab=default_tab&amp;search_scope=EVERYTHING&amp;vid=01CRU&amp;lang=en_US&amp;offset=0&amp;query=any,contains,991000651089702656","Catalog Record")</f>
        <v/>
      </c>
      <c r="AT1292">
        <f>HYPERLINK("http://www.worldcat.org/oclc/12163034","WorldCat Record")</f>
        <v/>
      </c>
      <c r="AU1292" t="inlineStr">
        <is>
          <t>429651428:eng</t>
        </is>
      </c>
      <c r="AV1292" t="inlineStr">
        <is>
          <t>12163034</t>
        </is>
      </c>
      <c r="AW1292" t="inlineStr">
        <is>
          <t>991000651089702656</t>
        </is>
      </c>
      <c r="AX1292" t="inlineStr">
        <is>
          <t>991000651089702656</t>
        </is>
      </c>
      <c r="AY1292" t="inlineStr">
        <is>
          <t>2269975510002656</t>
        </is>
      </c>
      <c r="AZ1292" t="inlineStr">
        <is>
          <t>BOOK</t>
        </is>
      </c>
      <c r="BB1292" t="inlineStr">
        <is>
          <t>9780936104843</t>
        </is>
      </c>
      <c r="BC1292" t="inlineStr">
        <is>
          <t>32285000838812</t>
        </is>
      </c>
      <c r="BD1292" t="inlineStr">
        <is>
          <t>893419655</t>
        </is>
      </c>
    </row>
    <row r="1293">
      <c r="A1293" t="inlineStr">
        <is>
          <t>No</t>
        </is>
      </c>
      <c r="B1293" t="inlineStr">
        <is>
          <t>HV888 .H45</t>
        </is>
      </c>
      <c r="C1293" t="inlineStr">
        <is>
          <t>0                      HV 0888000H  45</t>
        </is>
      </c>
      <c r="D1293" t="inlineStr">
        <is>
          <t>A handicapped child in the family; a guide for parents.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Heisler, Verda.</t>
        </is>
      </c>
      <c r="L1293" t="inlineStr">
        <is>
          <t>New York, Grune &amp; Stratton [1972]</t>
        </is>
      </c>
      <c r="M1293" t="inlineStr">
        <is>
          <t>1972</t>
        </is>
      </c>
      <c r="O1293" t="inlineStr">
        <is>
          <t>eng</t>
        </is>
      </c>
      <c r="P1293" t="inlineStr">
        <is>
          <t>nyu</t>
        </is>
      </c>
      <c r="R1293" t="inlineStr">
        <is>
          <t xml:space="preserve">HV </t>
        </is>
      </c>
      <c r="S1293" t="n">
        <v>1</v>
      </c>
      <c r="T1293" t="n">
        <v>1</v>
      </c>
      <c r="U1293" t="inlineStr">
        <is>
          <t>1993-03-25</t>
        </is>
      </c>
      <c r="V1293" t="inlineStr">
        <is>
          <t>1993-03-25</t>
        </is>
      </c>
      <c r="W1293" t="inlineStr">
        <is>
          <t>1992-12-22</t>
        </is>
      </c>
      <c r="X1293" t="inlineStr">
        <is>
          <t>1992-12-22</t>
        </is>
      </c>
      <c r="Y1293" t="n">
        <v>538</v>
      </c>
      <c r="Z1293" t="n">
        <v>426</v>
      </c>
      <c r="AA1293" t="n">
        <v>433</v>
      </c>
      <c r="AB1293" t="n">
        <v>5</v>
      </c>
      <c r="AC1293" t="n">
        <v>5</v>
      </c>
      <c r="AD1293" t="n">
        <v>14</v>
      </c>
      <c r="AE1293" t="n">
        <v>14</v>
      </c>
      <c r="AF1293" t="n">
        <v>4</v>
      </c>
      <c r="AG1293" t="n">
        <v>4</v>
      </c>
      <c r="AH1293" t="n">
        <v>5</v>
      </c>
      <c r="AI1293" t="n">
        <v>5</v>
      </c>
      <c r="AJ1293" t="n">
        <v>5</v>
      </c>
      <c r="AK1293" t="n">
        <v>5</v>
      </c>
      <c r="AL1293" t="n">
        <v>3</v>
      </c>
      <c r="AM1293" t="n">
        <v>3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Yes</t>
        </is>
      </c>
      <c r="AR1293">
        <f>HYPERLINK("http://catalog.hathitrust.org/Record/001132795","HathiTrust Record")</f>
        <v/>
      </c>
      <c r="AS1293">
        <f>HYPERLINK("https://creighton-primo.hosted.exlibrisgroup.com/primo-explore/search?tab=default_tab&amp;search_scope=EVERYTHING&amp;vid=01CRU&amp;lang=en_US&amp;offset=0&amp;query=any,contains,991002272219702656","Catalog Record")</f>
        <v/>
      </c>
      <c r="AT1293">
        <f>HYPERLINK("http://www.worldcat.org/oclc/308658","WorldCat Record")</f>
        <v/>
      </c>
      <c r="AU1293" t="inlineStr">
        <is>
          <t>465665:eng</t>
        </is>
      </c>
      <c r="AV1293" t="inlineStr">
        <is>
          <t>308658</t>
        </is>
      </c>
      <c r="AW1293" t="inlineStr">
        <is>
          <t>991002272219702656</t>
        </is>
      </c>
      <c r="AX1293" t="inlineStr">
        <is>
          <t>991002272219702656</t>
        </is>
      </c>
      <c r="AY1293" t="inlineStr">
        <is>
          <t>2266203310002656</t>
        </is>
      </c>
      <c r="AZ1293" t="inlineStr">
        <is>
          <t>BOOK</t>
        </is>
      </c>
      <c r="BB1293" t="inlineStr">
        <is>
          <t>9780808907343</t>
        </is>
      </c>
      <c r="BC1293" t="inlineStr">
        <is>
          <t>32285001469302</t>
        </is>
      </c>
      <c r="BD1293" t="inlineStr">
        <is>
          <t>893439974</t>
        </is>
      </c>
    </row>
    <row r="1294">
      <c r="A1294" t="inlineStr">
        <is>
          <t>No</t>
        </is>
      </c>
      <c r="B1294" t="inlineStr">
        <is>
          <t>HV888 .M55 1984</t>
        </is>
      </c>
      <c r="C1294" t="inlineStr">
        <is>
          <t>0                      HV 0888000M  55          1984</t>
        </is>
      </c>
      <c r="D1294" t="inlineStr">
        <is>
          <t>Daily living with a handicapped child / Diana M. Millard.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Millard, Diana M.</t>
        </is>
      </c>
      <c r="L1294" t="inlineStr">
        <is>
          <t>London ; Canberra : Croom Helm, 1984.</t>
        </is>
      </c>
      <c r="M1294" t="inlineStr">
        <is>
          <t>1984</t>
        </is>
      </c>
      <c r="O1294" t="inlineStr">
        <is>
          <t>eng</t>
        </is>
      </c>
      <c r="P1294" t="inlineStr">
        <is>
          <t>xxk</t>
        </is>
      </c>
      <c r="Q1294" t="inlineStr">
        <is>
          <t>Croom Helm special education series</t>
        </is>
      </c>
      <c r="R1294" t="inlineStr">
        <is>
          <t xml:space="preserve">HV </t>
        </is>
      </c>
      <c r="S1294" t="n">
        <v>4</v>
      </c>
      <c r="T1294" t="n">
        <v>4</v>
      </c>
      <c r="U1294" t="inlineStr">
        <is>
          <t>1994-09-29</t>
        </is>
      </c>
      <c r="V1294" t="inlineStr">
        <is>
          <t>1994-09-29</t>
        </is>
      </c>
      <c r="W1294" t="inlineStr">
        <is>
          <t>1991-11-12</t>
        </is>
      </c>
      <c r="X1294" t="inlineStr">
        <is>
          <t>1991-11-12</t>
        </is>
      </c>
      <c r="Y1294" t="n">
        <v>205</v>
      </c>
      <c r="Z1294" t="n">
        <v>102</v>
      </c>
      <c r="AA1294" t="n">
        <v>151</v>
      </c>
      <c r="AB1294" t="n">
        <v>2</v>
      </c>
      <c r="AC1294" t="n">
        <v>2</v>
      </c>
      <c r="AD1294" t="n">
        <v>3</v>
      </c>
      <c r="AE1294" t="n">
        <v>3</v>
      </c>
      <c r="AF1294" t="n">
        <v>2</v>
      </c>
      <c r="AG1294" t="n">
        <v>2</v>
      </c>
      <c r="AH1294" t="n">
        <v>0</v>
      </c>
      <c r="AI1294" t="n">
        <v>0</v>
      </c>
      <c r="AJ1294" t="n">
        <v>1</v>
      </c>
      <c r="AK1294" t="n">
        <v>1</v>
      </c>
      <c r="AL1294" t="n">
        <v>1</v>
      </c>
      <c r="AM1294" t="n">
        <v>1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HYPERLINK("https://creighton-primo.hosted.exlibrisgroup.com/primo-explore/search?tab=default_tab&amp;search_scope=EVERYTHING&amp;vid=01CRU&amp;lang=en_US&amp;offset=0&amp;query=any,contains,991000401669702656","Catalog Record")</f>
        <v/>
      </c>
      <c r="AT1294">
        <f>HYPERLINK("http://www.worldcat.org/oclc/12549902","WorldCat Record")</f>
        <v/>
      </c>
      <c r="AU1294" t="inlineStr">
        <is>
          <t>5274155:eng</t>
        </is>
      </c>
      <c r="AV1294" t="inlineStr">
        <is>
          <t>12549902</t>
        </is>
      </c>
      <c r="AW1294" t="inlineStr">
        <is>
          <t>991000401669702656</t>
        </is>
      </c>
      <c r="AX1294" t="inlineStr">
        <is>
          <t>991000401669702656</t>
        </is>
      </c>
      <c r="AY1294" t="inlineStr">
        <is>
          <t>2258740900002656</t>
        </is>
      </c>
      <c r="AZ1294" t="inlineStr">
        <is>
          <t>BOOK</t>
        </is>
      </c>
      <c r="BB1294" t="inlineStr">
        <is>
          <t>9780709917014</t>
        </is>
      </c>
      <c r="BC1294" t="inlineStr">
        <is>
          <t>32285000821289</t>
        </is>
      </c>
      <c r="BD1294" t="inlineStr">
        <is>
          <t>893419414</t>
        </is>
      </c>
    </row>
    <row r="1295">
      <c r="A1295" t="inlineStr">
        <is>
          <t>No</t>
        </is>
      </c>
      <c r="B1295" t="inlineStr">
        <is>
          <t>HV888 .S23 1996</t>
        </is>
      </c>
      <c r="C1295" t="inlineStr">
        <is>
          <t>0                      HV 0888000S  23          1996</t>
        </is>
      </c>
      <c r="D1295" t="inlineStr">
        <is>
          <t>A history of childhood and disability / Philip L. Safford &amp; Elizabeth J. Safford ; foreword by Seymour Sarason.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Safford, Philip L.</t>
        </is>
      </c>
      <c r="L1295" t="inlineStr">
        <is>
          <t>New York : Teachers College Press, c1996.</t>
        </is>
      </c>
      <c r="M1295" t="inlineStr">
        <is>
          <t>1996</t>
        </is>
      </c>
      <c r="O1295" t="inlineStr">
        <is>
          <t>eng</t>
        </is>
      </c>
      <c r="P1295" t="inlineStr">
        <is>
          <t>nyu</t>
        </is>
      </c>
      <c r="R1295" t="inlineStr">
        <is>
          <t xml:space="preserve">HV </t>
        </is>
      </c>
      <c r="S1295" t="n">
        <v>8</v>
      </c>
      <c r="T1295" t="n">
        <v>8</v>
      </c>
      <c r="U1295" t="inlineStr">
        <is>
          <t>2000-11-14</t>
        </is>
      </c>
      <c r="V1295" t="inlineStr">
        <is>
          <t>2000-11-14</t>
        </is>
      </c>
      <c r="W1295" t="inlineStr">
        <is>
          <t>1996-03-07</t>
        </is>
      </c>
      <c r="X1295" t="inlineStr">
        <is>
          <t>1996-03-07</t>
        </is>
      </c>
      <c r="Y1295" t="n">
        <v>486</v>
      </c>
      <c r="Z1295" t="n">
        <v>413</v>
      </c>
      <c r="AA1295" t="n">
        <v>606</v>
      </c>
      <c r="AB1295" t="n">
        <v>4</v>
      </c>
      <c r="AC1295" t="n">
        <v>4</v>
      </c>
      <c r="AD1295" t="n">
        <v>17</v>
      </c>
      <c r="AE1295" t="n">
        <v>19</v>
      </c>
      <c r="AF1295" t="n">
        <v>5</v>
      </c>
      <c r="AG1295" t="n">
        <v>7</v>
      </c>
      <c r="AH1295" t="n">
        <v>6</v>
      </c>
      <c r="AI1295" t="n">
        <v>7</v>
      </c>
      <c r="AJ1295" t="n">
        <v>8</v>
      </c>
      <c r="AK1295" t="n">
        <v>8</v>
      </c>
      <c r="AL1295" t="n">
        <v>3</v>
      </c>
      <c r="AM1295" t="n">
        <v>3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HYPERLINK("https://creighton-primo.hosted.exlibrisgroup.com/primo-explore/search?tab=default_tab&amp;search_scope=EVERYTHING&amp;vid=01CRU&amp;lang=en_US&amp;offset=0&amp;query=any,contains,991002549929702656","Catalog Record")</f>
        <v/>
      </c>
      <c r="AT1295">
        <f>HYPERLINK("http://www.worldcat.org/oclc/33132046","WorldCat Record")</f>
        <v/>
      </c>
      <c r="AU1295" t="inlineStr">
        <is>
          <t>1005524:eng</t>
        </is>
      </c>
      <c r="AV1295" t="inlineStr">
        <is>
          <t>33132046</t>
        </is>
      </c>
      <c r="AW1295" t="inlineStr">
        <is>
          <t>991002549929702656</t>
        </is>
      </c>
      <c r="AX1295" t="inlineStr">
        <is>
          <t>991002549929702656</t>
        </is>
      </c>
      <c r="AY1295" t="inlineStr">
        <is>
          <t>2268840750002656</t>
        </is>
      </c>
      <c r="AZ1295" t="inlineStr">
        <is>
          <t>BOOK</t>
        </is>
      </c>
      <c r="BB1295" t="inlineStr">
        <is>
          <t>9780807734858</t>
        </is>
      </c>
      <c r="BC1295" t="inlineStr">
        <is>
          <t>32285002140654</t>
        </is>
      </c>
      <c r="BD1295" t="inlineStr">
        <is>
          <t>893616262</t>
        </is>
      </c>
    </row>
    <row r="1296">
      <c r="A1296" t="inlineStr">
        <is>
          <t>No</t>
        </is>
      </c>
      <c r="B1296" t="inlineStr">
        <is>
          <t>HV888.5 .S45 2007</t>
        </is>
      </c>
      <c r="C1296" t="inlineStr">
        <is>
          <t>0                      HV 0888500S  45          2007</t>
        </is>
      </c>
      <c r="D1296" t="inlineStr">
        <is>
          <t>Ordinary families, special children : a systems approach to childhood disability / Milton Seligman, Rosalyn Benjamin Darling.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Seligman, Milton, 1937-</t>
        </is>
      </c>
      <c r="L1296" t="inlineStr">
        <is>
          <t>New York : Guilford Press, c2007.</t>
        </is>
      </c>
      <c r="M1296" t="inlineStr">
        <is>
          <t>2007</t>
        </is>
      </c>
      <c r="N1296" t="inlineStr">
        <is>
          <t>3rd ed.</t>
        </is>
      </c>
      <c r="O1296" t="inlineStr">
        <is>
          <t>eng</t>
        </is>
      </c>
      <c r="P1296" t="inlineStr">
        <is>
          <t>nyu</t>
        </is>
      </c>
      <c r="R1296" t="inlineStr">
        <is>
          <t xml:space="preserve">HV </t>
        </is>
      </c>
      <c r="S1296" t="n">
        <v>1</v>
      </c>
      <c r="T1296" t="n">
        <v>1</v>
      </c>
      <c r="U1296" t="inlineStr">
        <is>
          <t>2007-06-05</t>
        </is>
      </c>
      <c r="V1296" t="inlineStr">
        <is>
          <t>2007-06-05</t>
        </is>
      </c>
      <c r="W1296" t="inlineStr">
        <is>
          <t>2007-06-05</t>
        </is>
      </c>
      <c r="X1296" t="inlineStr">
        <is>
          <t>2007-06-05</t>
        </is>
      </c>
      <c r="Y1296" t="n">
        <v>431</v>
      </c>
      <c r="Z1296" t="n">
        <v>336</v>
      </c>
      <c r="AA1296" t="n">
        <v>1209</v>
      </c>
      <c r="AB1296" t="n">
        <v>1</v>
      </c>
      <c r="AC1296" t="n">
        <v>10</v>
      </c>
      <c r="AD1296" t="n">
        <v>12</v>
      </c>
      <c r="AE1296" t="n">
        <v>50</v>
      </c>
      <c r="AF1296" t="n">
        <v>6</v>
      </c>
      <c r="AG1296" t="n">
        <v>22</v>
      </c>
      <c r="AH1296" t="n">
        <v>2</v>
      </c>
      <c r="AI1296" t="n">
        <v>8</v>
      </c>
      <c r="AJ1296" t="n">
        <v>8</v>
      </c>
      <c r="AK1296" t="n">
        <v>20</v>
      </c>
      <c r="AL1296" t="n">
        <v>0</v>
      </c>
      <c r="AM1296" t="n">
        <v>9</v>
      </c>
      <c r="AN1296" t="n">
        <v>0</v>
      </c>
      <c r="AO1296" t="n">
        <v>1</v>
      </c>
      <c r="AP1296" t="inlineStr">
        <is>
          <t>No</t>
        </is>
      </c>
      <c r="AQ1296" t="inlineStr">
        <is>
          <t>No</t>
        </is>
      </c>
      <c r="AS1296">
        <f>HYPERLINK("https://creighton-primo.hosted.exlibrisgroup.com/primo-explore/search?tab=default_tab&amp;search_scope=EVERYTHING&amp;vid=01CRU&amp;lang=en_US&amp;offset=0&amp;query=any,contains,991005074009702656","Catalog Record")</f>
        <v/>
      </c>
      <c r="AT1296">
        <f>HYPERLINK("http://www.worldcat.org/oclc/73502359","WorldCat Record")</f>
        <v/>
      </c>
      <c r="AU1296" t="inlineStr">
        <is>
          <t>837060248:eng</t>
        </is>
      </c>
      <c r="AV1296" t="inlineStr">
        <is>
          <t>73502359</t>
        </is>
      </c>
      <c r="AW1296" t="inlineStr">
        <is>
          <t>991005074009702656</t>
        </is>
      </c>
      <c r="AX1296" t="inlineStr">
        <is>
          <t>991005074009702656</t>
        </is>
      </c>
      <c r="AY1296" t="inlineStr">
        <is>
          <t>2267987550002656</t>
        </is>
      </c>
      <c r="AZ1296" t="inlineStr">
        <is>
          <t>BOOK</t>
        </is>
      </c>
      <c r="BB1296" t="inlineStr">
        <is>
          <t>9781593853624</t>
        </is>
      </c>
      <c r="BC1296" t="inlineStr">
        <is>
          <t>32285005314777</t>
        </is>
      </c>
      <c r="BD1296" t="inlineStr">
        <is>
          <t>893520372</t>
        </is>
      </c>
    </row>
    <row r="1297">
      <c r="A1297" t="inlineStr">
        <is>
          <t>No</t>
        </is>
      </c>
      <c r="B1297" t="inlineStr">
        <is>
          <t>HV8886.U5 H46 1982</t>
        </is>
      </c>
      <c r="C1297" t="inlineStr">
        <is>
          <t>0                      HV 8886000U  5                  H  46          1982</t>
        </is>
      </c>
      <c r="D1297" t="inlineStr">
        <is>
          <t>Imprisoned mothers and their children : a descriptive and analytical study / Zelma Weston Henriques.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Henriques, Zelma Weston.</t>
        </is>
      </c>
      <c r="L1297" t="inlineStr">
        <is>
          <t>Washington, D.C. : University Press of America, c1982.</t>
        </is>
      </c>
      <c r="M1297" t="inlineStr">
        <is>
          <t>1982</t>
        </is>
      </c>
      <c r="O1297" t="inlineStr">
        <is>
          <t>eng</t>
        </is>
      </c>
      <c r="P1297" t="inlineStr">
        <is>
          <t>dcu</t>
        </is>
      </c>
      <c r="R1297" t="inlineStr">
        <is>
          <t xml:space="preserve">HV </t>
        </is>
      </c>
      <c r="S1297" t="n">
        <v>10</v>
      </c>
      <c r="T1297" t="n">
        <v>10</v>
      </c>
      <c r="U1297" t="inlineStr">
        <is>
          <t>2010-04-12</t>
        </is>
      </c>
      <c r="V1297" t="inlineStr">
        <is>
          <t>2010-04-12</t>
        </is>
      </c>
      <c r="W1297" t="inlineStr">
        <is>
          <t>1992-07-14</t>
        </is>
      </c>
      <c r="X1297" t="inlineStr">
        <is>
          <t>1992-07-14</t>
        </is>
      </c>
      <c r="Y1297" t="n">
        <v>259</v>
      </c>
      <c r="Z1297" t="n">
        <v>234</v>
      </c>
      <c r="AA1297" t="n">
        <v>235</v>
      </c>
      <c r="AB1297" t="n">
        <v>2</v>
      </c>
      <c r="AC1297" t="n">
        <v>2</v>
      </c>
      <c r="AD1297" t="n">
        <v>15</v>
      </c>
      <c r="AE1297" t="n">
        <v>15</v>
      </c>
      <c r="AF1297" t="n">
        <v>5</v>
      </c>
      <c r="AG1297" t="n">
        <v>5</v>
      </c>
      <c r="AH1297" t="n">
        <v>3</v>
      </c>
      <c r="AI1297" t="n">
        <v>3</v>
      </c>
      <c r="AJ1297" t="n">
        <v>5</v>
      </c>
      <c r="AK1297" t="n">
        <v>5</v>
      </c>
      <c r="AL1297" t="n">
        <v>1</v>
      </c>
      <c r="AM1297" t="n">
        <v>1</v>
      </c>
      <c r="AN1297" t="n">
        <v>4</v>
      </c>
      <c r="AO1297" t="n">
        <v>4</v>
      </c>
      <c r="AP1297" t="inlineStr">
        <is>
          <t>No</t>
        </is>
      </c>
      <c r="AQ1297" t="inlineStr">
        <is>
          <t>No</t>
        </is>
      </c>
      <c r="AS1297">
        <f>HYPERLINK("https://creighton-primo.hosted.exlibrisgroup.com/primo-explore/search?tab=default_tab&amp;search_scope=EVERYTHING&amp;vid=01CRU&amp;lang=en_US&amp;offset=0&amp;query=any,contains,991005203069702656","Catalog Record")</f>
        <v/>
      </c>
      <c r="AT1297">
        <f>HYPERLINK("http://www.worldcat.org/oclc/8109408","WorldCat Record")</f>
        <v/>
      </c>
      <c r="AU1297" t="inlineStr">
        <is>
          <t>30790328:eng</t>
        </is>
      </c>
      <c r="AV1297" t="inlineStr">
        <is>
          <t>8109408</t>
        </is>
      </c>
      <c r="AW1297" t="inlineStr">
        <is>
          <t>991005203069702656</t>
        </is>
      </c>
      <c r="AX1297" t="inlineStr">
        <is>
          <t>991005203069702656</t>
        </is>
      </c>
      <c r="AY1297" t="inlineStr">
        <is>
          <t>2261534120002656</t>
        </is>
      </c>
      <c r="AZ1297" t="inlineStr">
        <is>
          <t>BOOK</t>
        </is>
      </c>
      <c r="BB1297" t="inlineStr">
        <is>
          <t>9780819122254</t>
        </is>
      </c>
      <c r="BC1297" t="inlineStr">
        <is>
          <t>32285001183036</t>
        </is>
      </c>
      <c r="BD1297" t="inlineStr">
        <is>
          <t>893320232</t>
        </is>
      </c>
    </row>
    <row r="1298">
      <c r="A1298" t="inlineStr">
        <is>
          <t>No</t>
        </is>
      </c>
      <c r="B1298" t="inlineStr">
        <is>
          <t>HV8886.U5 P75 2003</t>
        </is>
      </c>
      <c r="C1298" t="inlineStr">
        <is>
          <t>0                      HV 8886000U  5                  P  75          2003</t>
        </is>
      </c>
      <c r="D1298" t="inlineStr">
        <is>
          <t>Prisoners once removed : the impact of incarceration and reentry on children, families, and communities / edited by Jeremy Travis and Michelle Waul.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L1298" t="inlineStr">
        <is>
          <t>Washington, D.C. : Urban Institute Press, c2003.</t>
        </is>
      </c>
      <c r="M1298" t="inlineStr">
        <is>
          <t>2003</t>
        </is>
      </c>
      <c r="O1298" t="inlineStr">
        <is>
          <t>eng</t>
        </is>
      </c>
      <c r="P1298" t="inlineStr">
        <is>
          <t>dcu</t>
        </is>
      </c>
      <c r="R1298" t="inlineStr">
        <is>
          <t xml:space="preserve">HV </t>
        </is>
      </c>
      <c r="S1298" t="n">
        <v>4</v>
      </c>
      <c r="T1298" t="n">
        <v>4</v>
      </c>
      <c r="U1298" t="inlineStr">
        <is>
          <t>2010-04-12</t>
        </is>
      </c>
      <c r="V1298" t="inlineStr">
        <is>
          <t>2010-04-12</t>
        </is>
      </c>
      <c r="W1298" t="inlineStr">
        <is>
          <t>2005-05-31</t>
        </is>
      </c>
      <c r="X1298" t="inlineStr">
        <is>
          <t>2005-05-31</t>
        </is>
      </c>
      <c r="Y1298" t="n">
        <v>848</v>
      </c>
      <c r="Z1298" t="n">
        <v>784</v>
      </c>
      <c r="AA1298" t="n">
        <v>784</v>
      </c>
      <c r="AB1298" t="n">
        <v>7</v>
      </c>
      <c r="AC1298" t="n">
        <v>7</v>
      </c>
      <c r="AD1298" t="n">
        <v>33</v>
      </c>
      <c r="AE1298" t="n">
        <v>33</v>
      </c>
      <c r="AF1298" t="n">
        <v>14</v>
      </c>
      <c r="AG1298" t="n">
        <v>14</v>
      </c>
      <c r="AH1298" t="n">
        <v>7</v>
      </c>
      <c r="AI1298" t="n">
        <v>7</v>
      </c>
      <c r="AJ1298" t="n">
        <v>12</v>
      </c>
      <c r="AK1298" t="n">
        <v>12</v>
      </c>
      <c r="AL1298" t="n">
        <v>6</v>
      </c>
      <c r="AM1298" t="n">
        <v>6</v>
      </c>
      <c r="AN1298" t="n">
        <v>1</v>
      </c>
      <c r="AO1298" t="n">
        <v>1</v>
      </c>
      <c r="AP1298" t="inlineStr">
        <is>
          <t>No</t>
        </is>
      </c>
      <c r="AQ1298" t="inlineStr">
        <is>
          <t>No</t>
        </is>
      </c>
      <c r="AS1298">
        <f>HYPERLINK("https://creighton-primo.hosted.exlibrisgroup.com/primo-explore/search?tab=default_tab&amp;search_scope=EVERYTHING&amp;vid=01CRU&amp;lang=en_US&amp;offset=0&amp;query=any,contains,991004511949702656","Catalog Record")</f>
        <v/>
      </c>
      <c r="AT1298">
        <f>HYPERLINK("http://www.worldcat.org/oclc/52765783","WorldCat Record")</f>
        <v/>
      </c>
      <c r="AU1298" t="inlineStr">
        <is>
          <t>732119:eng</t>
        </is>
      </c>
      <c r="AV1298" t="inlineStr">
        <is>
          <t>52765783</t>
        </is>
      </c>
      <c r="AW1298" t="inlineStr">
        <is>
          <t>991004511949702656</t>
        </is>
      </c>
      <c r="AX1298" t="inlineStr">
        <is>
          <t>991004511949702656</t>
        </is>
      </c>
      <c r="AY1298" t="inlineStr">
        <is>
          <t>2263262400002656</t>
        </is>
      </c>
      <c r="AZ1298" t="inlineStr">
        <is>
          <t>BOOK</t>
        </is>
      </c>
      <c r="BB1298" t="inlineStr">
        <is>
          <t>9780877667155</t>
        </is>
      </c>
      <c r="BC1298" t="inlineStr">
        <is>
          <t>32285005091565</t>
        </is>
      </c>
      <c r="BD1298" t="inlineStr">
        <is>
          <t>893259808</t>
        </is>
      </c>
    </row>
    <row r="1299">
      <c r="A1299" t="inlineStr">
        <is>
          <t>No</t>
        </is>
      </c>
      <c r="B1299" t="inlineStr">
        <is>
          <t>HV890.G7 C65 1986</t>
        </is>
      </c>
      <c r="C1299" t="inlineStr">
        <is>
          <t>0                      HV 0890000G  7                  C  65          1986</t>
        </is>
      </c>
      <c r="D1299" t="inlineStr">
        <is>
          <t>Residential special education : living and learning in a special school / Ted Cole.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Cole, Ted.</t>
        </is>
      </c>
      <c r="L1299" t="inlineStr">
        <is>
          <t>Milton Keynes, England ; Philadelphia : Open University Press, 1986.</t>
        </is>
      </c>
      <c r="M1299" t="inlineStr">
        <is>
          <t>1986</t>
        </is>
      </c>
      <c r="O1299" t="inlineStr">
        <is>
          <t>eng</t>
        </is>
      </c>
      <c r="P1299" t="inlineStr">
        <is>
          <t>enk</t>
        </is>
      </c>
      <c r="Q1299" t="inlineStr">
        <is>
          <t>Children with special needs series</t>
        </is>
      </c>
      <c r="R1299" t="inlineStr">
        <is>
          <t xml:space="preserve">HV </t>
        </is>
      </c>
      <c r="S1299" t="n">
        <v>6</v>
      </c>
      <c r="T1299" t="n">
        <v>6</v>
      </c>
      <c r="U1299" t="inlineStr">
        <is>
          <t>2009-09-21</t>
        </is>
      </c>
      <c r="V1299" t="inlineStr">
        <is>
          <t>2009-09-21</t>
        </is>
      </c>
      <c r="W1299" t="inlineStr">
        <is>
          <t>1993-05-18</t>
        </is>
      </c>
      <c r="X1299" t="inlineStr">
        <is>
          <t>1993-05-18</t>
        </is>
      </c>
      <c r="Y1299" t="n">
        <v>172</v>
      </c>
      <c r="Z1299" t="n">
        <v>93</v>
      </c>
      <c r="AA1299" t="n">
        <v>94</v>
      </c>
      <c r="AB1299" t="n">
        <v>2</v>
      </c>
      <c r="AC1299" t="n">
        <v>2</v>
      </c>
      <c r="AD1299" t="n">
        <v>1</v>
      </c>
      <c r="AE1299" t="n">
        <v>1</v>
      </c>
      <c r="AF1299" t="n">
        <v>0</v>
      </c>
      <c r="AG1299" t="n">
        <v>0</v>
      </c>
      <c r="AH1299" t="n">
        <v>0</v>
      </c>
      <c r="AI1299" t="n">
        <v>0</v>
      </c>
      <c r="AJ1299" t="n">
        <v>0</v>
      </c>
      <c r="AK1299" t="n">
        <v>0</v>
      </c>
      <c r="AL1299" t="n">
        <v>1</v>
      </c>
      <c r="AM1299" t="n">
        <v>1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Yes</t>
        </is>
      </c>
      <c r="AR1299">
        <f>HYPERLINK("http://catalog.hathitrust.org/Record/000825412","HathiTrust Record")</f>
        <v/>
      </c>
      <c r="AS1299">
        <f>HYPERLINK("https://creighton-primo.hosted.exlibrisgroup.com/primo-explore/search?tab=default_tab&amp;search_scope=EVERYTHING&amp;vid=01CRU&amp;lang=en_US&amp;offset=0&amp;query=any,contains,991000845969702656","Catalog Record")</f>
        <v/>
      </c>
      <c r="AT1299">
        <f>HYPERLINK("http://www.worldcat.org/oclc/13560320","WorldCat Record")</f>
        <v/>
      </c>
      <c r="AU1299" t="inlineStr">
        <is>
          <t>836641156:eng</t>
        </is>
      </c>
      <c r="AV1299" t="inlineStr">
        <is>
          <t>13560320</t>
        </is>
      </c>
      <c r="AW1299" t="inlineStr">
        <is>
          <t>991000845969702656</t>
        </is>
      </c>
      <c r="AX1299" t="inlineStr">
        <is>
          <t>991000845969702656</t>
        </is>
      </c>
      <c r="AY1299" t="inlineStr">
        <is>
          <t>2263579400002656</t>
        </is>
      </c>
      <c r="AZ1299" t="inlineStr">
        <is>
          <t>BOOK</t>
        </is>
      </c>
      <c r="BB1299" t="inlineStr">
        <is>
          <t>9780335151240</t>
        </is>
      </c>
      <c r="BC1299" t="inlineStr">
        <is>
          <t>32285001682813</t>
        </is>
      </c>
      <c r="BD1299" t="inlineStr">
        <is>
          <t>893878401</t>
        </is>
      </c>
    </row>
    <row r="1300">
      <c r="A1300" t="inlineStr">
        <is>
          <t>No</t>
        </is>
      </c>
      <c r="B1300" t="inlineStr">
        <is>
          <t>HV891 .M44</t>
        </is>
      </c>
      <c r="C1300" t="inlineStr">
        <is>
          <t>0                      HV 0891000M  44</t>
        </is>
      </c>
      <c r="D1300" t="inlineStr">
        <is>
          <t>Mental retardation : social and educational perspectives / [compiled by] Clifford J. Drew, Michael L. Hardman, Harry P. Bluhm ; with a foreword by Burton Blatt.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Saint Louis : Mosby, 1977.</t>
        </is>
      </c>
      <c r="M1300" t="inlineStr">
        <is>
          <t>1977</t>
        </is>
      </c>
      <c r="O1300" t="inlineStr">
        <is>
          <t>eng</t>
        </is>
      </c>
      <c r="P1300" t="inlineStr">
        <is>
          <t>mou</t>
        </is>
      </c>
      <c r="R1300" t="inlineStr">
        <is>
          <t xml:space="preserve">HV </t>
        </is>
      </c>
      <c r="S1300" t="n">
        <v>2</v>
      </c>
      <c r="T1300" t="n">
        <v>2</v>
      </c>
      <c r="U1300" t="inlineStr">
        <is>
          <t>2000-03-25</t>
        </is>
      </c>
      <c r="V1300" t="inlineStr">
        <is>
          <t>2000-03-25</t>
        </is>
      </c>
      <c r="W1300" t="inlineStr">
        <is>
          <t>1997-08-21</t>
        </is>
      </c>
      <c r="X1300" t="inlineStr">
        <is>
          <t>1997-08-21</t>
        </is>
      </c>
      <c r="Y1300" t="n">
        <v>283</v>
      </c>
      <c r="Z1300" t="n">
        <v>224</v>
      </c>
      <c r="AA1300" t="n">
        <v>226</v>
      </c>
      <c r="AB1300" t="n">
        <v>3</v>
      </c>
      <c r="AC1300" t="n">
        <v>3</v>
      </c>
      <c r="AD1300" t="n">
        <v>8</v>
      </c>
      <c r="AE1300" t="n">
        <v>8</v>
      </c>
      <c r="AF1300" t="n">
        <v>2</v>
      </c>
      <c r="AG1300" t="n">
        <v>2</v>
      </c>
      <c r="AH1300" t="n">
        <v>2</v>
      </c>
      <c r="AI1300" t="n">
        <v>2</v>
      </c>
      <c r="AJ1300" t="n">
        <v>4</v>
      </c>
      <c r="AK1300" t="n">
        <v>4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Yes</t>
        </is>
      </c>
      <c r="AR1300">
        <f>HYPERLINK("http://catalog.hathitrust.org/Record/007840284","HathiTrust Record")</f>
        <v/>
      </c>
      <c r="AS1300">
        <f>HYPERLINK("https://creighton-primo.hosted.exlibrisgroup.com/primo-explore/search?tab=default_tab&amp;search_scope=EVERYTHING&amp;vid=01CRU&amp;lang=en_US&amp;offset=0&amp;query=any,contains,991004265389702656","Catalog Record")</f>
        <v/>
      </c>
      <c r="AT1300">
        <f>HYPERLINK("http://www.worldcat.org/oclc/2862724","WorldCat Record")</f>
        <v/>
      </c>
      <c r="AU1300" t="inlineStr">
        <is>
          <t>4575249743:eng</t>
        </is>
      </c>
      <c r="AV1300" t="inlineStr">
        <is>
          <t>2862724</t>
        </is>
      </c>
      <c r="AW1300" t="inlineStr">
        <is>
          <t>991004265389702656</t>
        </is>
      </c>
      <c r="AX1300" t="inlineStr">
        <is>
          <t>991004265389702656</t>
        </is>
      </c>
      <c r="AY1300" t="inlineStr">
        <is>
          <t>2268251880002656</t>
        </is>
      </c>
      <c r="AZ1300" t="inlineStr">
        <is>
          <t>BOOK</t>
        </is>
      </c>
      <c r="BB1300" t="inlineStr">
        <is>
          <t>9780801614620</t>
        </is>
      </c>
      <c r="BC1300" t="inlineStr">
        <is>
          <t>32285003156808</t>
        </is>
      </c>
      <c r="BD1300" t="inlineStr">
        <is>
          <t>893599630</t>
        </is>
      </c>
    </row>
    <row r="1301">
      <c r="A1301" t="inlineStr">
        <is>
          <t>No</t>
        </is>
      </c>
      <c r="B1301" t="inlineStr">
        <is>
          <t>HV891 .M73 2006</t>
        </is>
      </c>
      <c r="C1301" t="inlineStr">
        <is>
          <t>0                      HV 0891000M  73          2006</t>
        </is>
      </c>
      <c r="D1301" t="inlineStr">
        <is>
          <t>Parenting your complex child : become a powerful advocate for the autistic, Down syndrome, PDD, bipolar, or other special-needs child / Peggy Lou Morgan.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Morgan, Peggy Lou, 1950-</t>
        </is>
      </c>
      <c r="L1301" t="inlineStr">
        <is>
          <t>New York : AMACOM, c2006.</t>
        </is>
      </c>
      <c r="M1301" t="inlineStr">
        <is>
          <t>2006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HV </t>
        </is>
      </c>
      <c r="S1301" t="n">
        <v>1</v>
      </c>
      <c r="T1301" t="n">
        <v>1</v>
      </c>
      <c r="U1301" t="inlineStr">
        <is>
          <t>2006-03-22</t>
        </is>
      </c>
      <c r="V1301" t="inlineStr">
        <is>
          <t>2006-03-22</t>
        </is>
      </c>
      <c r="W1301" t="inlineStr">
        <is>
          <t>2006-03-22</t>
        </is>
      </c>
      <c r="X1301" t="inlineStr">
        <is>
          <t>2006-03-22</t>
        </is>
      </c>
      <c r="Y1301" t="n">
        <v>358</v>
      </c>
      <c r="Z1301" t="n">
        <v>294</v>
      </c>
      <c r="AA1301" t="n">
        <v>957</v>
      </c>
      <c r="AB1301" t="n">
        <v>5</v>
      </c>
      <c r="AC1301" t="n">
        <v>21</v>
      </c>
      <c r="AD1301" t="n">
        <v>3</v>
      </c>
      <c r="AE1301" t="n">
        <v>23</v>
      </c>
      <c r="AF1301" t="n">
        <v>1</v>
      </c>
      <c r="AG1301" t="n">
        <v>6</v>
      </c>
      <c r="AH1301" t="n">
        <v>1</v>
      </c>
      <c r="AI1301" t="n">
        <v>4</v>
      </c>
      <c r="AJ1301" t="n">
        <v>1</v>
      </c>
      <c r="AK1301" t="n">
        <v>7</v>
      </c>
      <c r="AL1301" t="n">
        <v>1</v>
      </c>
      <c r="AM1301" t="n">
        <v>10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No</t>
        </is>
      </c>
      <c r="AS1301">
        <f>HYPERLINK("https://creighton-primo.hosted.exlibrisgroup.com/primo-explore/search?tab=default_tab&amp;search_scope=EVERYTHING&amp;vid=01CRU&amp;lang=en_US&amp;offset=0&amp;query=any,contains,991004769879702656","Catalog Record")</f>
        <v/>
      </c>
      <c r="AT1301">
        <f>HYPERLINK("http://www.worldcat.org/oclc/62302313","WorldCat Record")</f>
        <v/>
      </c>
      <c r="AU1301" t="inlineStr">
        <is>
          <t>198191767:eng</t>
        </is>
      </c>
      <c r="AV1301" t="inlineStr">
        <is>
          <t>62302313</t>
        </is>
      </c>
      <c r="AW1301" t="inlineStr">
        <is>
          <t>991004769879702656</t>
        </is>
      </c>
      <c r="AX1301" t="inlineStr">
        <is>
          <t>991004769879702656</t>
        </is>
      </c>
      <c r="AY1301" t="inlineStr">
        <is>
          <t>2260166930002656</t>
        </is>
      </c>
      <c r="AZ1301" t="inlineStr">
        <is>
          <t>BOOK</t>
        </is>
      </c>
      <c r="BB1301" t="inlineStr">
        <is>
          <t>9780814473160</t>
        </is>
      </c>
      <c r="BC1301" t="inlineStr">
        <is>
          <t>32285005167233</t>
        </is>
      </c>
      <c r="BD1301" t="inlineStr">
        <is>
          <t>893876564</t>
        </is>
      </c>
    </row>
    <row r="1302">
      <c r="A1302" t="inlineStr">
        <is>
          <t>No</t>
        </is>
      </c>
      <c r="B1302" t="inlineStr">
        <is>
          <t>HV891 .W5</t>
        </is>
      </c>
      <c r="C1302" t="inlineStr">
        <is>
          <t>0                      HV 0891000W  5</t>
        </is>
      </c>
      <c r="D1302" t="inlineStr">
        <is>
          <t>The mentally retarded child: identification, acceptance, and curriculum, by Roy DeVerl Willey and Kathleen Barnette Waite.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Willey, Roy De Verl.</t>
        </is>
      </c>
      <c r="L1302" t="inlineStr">
        <is>
          <t>Springfield, Ill., C. C. Thomas [1964]</t>
        </is>
      </c>
      <c r="M1302" t="inlineStr">
        <is>
          <t>1964</t>
        </is>
      </c>
      <c r="O1302" t="inlineStr">
        <is>
          <t>eng</t>
        </is>
      </c>
      <c r="P1302" t="inlineStr">
        <is>
          <t>ilu</t>
        </is>
      </c>
      <c r="R1302" t="inlineStr">
        <is>
          <t xml:space="preserve">HV </t>
        </is>
      </c>
      <c r="S1302" t="n">
        <v>2</v>
      </c>
      <c r="T1302" t="n">
        <v>2</v>
      </c>
      <c r="U1302" t="inlineStr">
        <is>
          <t>2000-04-18</t>
        </is>
      </c>
      <c r="V1302" t="inlineStr">
        <is>
          <t>2000-04-18</t>
        </is>
      </c>
      <c r="W1302" t="inlineStr">
        <is>
          <t>1997-08-21</t>
        </is>
      </c>
      <c r="X1302" t="inlineStr">
        <is>
          <t>1997-08-21</t>
        </is>
      </c>
      <c r="Y1302" t="n">
        <v>275</v>
      </c>
      <c r="Z1302" t="n">
        <v>244</v>
      </c>
      <c r="AA1302" t="n">
        <v>251</v>
      </c>
      <c r="AB1302" t="n">
        <v>4</v>
      </c>
      <c r="AC1302" t="n">
        <v>4</v>
      </c>
      <c r="AD1302" t="n">
        <v>9</v>
      </c>
      <c r="AE1302" t="n">
        <v>9</v>
      </c>
      <c r="AF1302" t="n">
        <v>0</v>
      </c>
      <c r="AG1302" t="n">
        <v>0</v>
      </c>
      <c r="AH1302" t="n">
        <v>2</v>
      </c>
      <c r="AI1302" t="n">
        <v>2</v>
      </c>
      <c r="AJ1302" t="n">
        <v>5</v>
      </c>
      <c r="AK1302" t="n">
        <v>5</v>
      </c>
      <c r="AL1302" t="n">
        <v>3</v>
      </c>
      <c r="AM1302" t="n">
        <v>3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Yes</t>
        </is>
      </c>
      <c r="AR1302">
        <f>HYPERLINK("http://catalog.hathitrust.org/Record/001132812","HathiTrust Record")</f>
        <v/>
      </c>
      <c r="AS1302">
        <f>HYPERLINK("https://creighton-primo.hosted.exlibrisgroup.com/primo-explore/search?tab=default_tab&amp;search_scope=EVERYTHING&amp;vid=01CRU&amp;lang=en_US&amp;offset=0&amp;query=any,contains,991002078479702656","Catalog Record")</f>
        <v/>
      </c>
      <c r="AT1302">
        <f>HYPERLINK("http://www.worldcat.org/oclc/264111","WorldCat Record")</f>
        <v/>
      </c>
      <c r="AU1302" t="inlineStr">
        <is>
          <t>309137539:eng</t>
        </is>
      </c>
      <c r="AV1302" t="inlineStr">
        <is>
          <t>264111</t>
        </is>
      </c>
      <c r="AW1302" t="inlineStr">
        <is>
          <t>991002078479702656</t>
        </is>
      </c>
      <c r="AX1302" t="inlineStr">
        <is>
          <t>991002078479702656</t>
        </is>
      </c>
      <c r="AY1302" t="inlineStr">
        <is>
          <t>2268180670002656</t>
        </is>
      </c>
      <c r="AZ1302" t="inlineStr">
        <is>
          <t>BOOK</t>
        </is>
      </c>
      <c r="BC1302" t="inlineStr">
        <is>
          <t>32285003156824</t>
        </is>
      </c>
      <c r="BD1302" t="inlineStr">
        <is>
          <t>893597000</t>
        </is>
      </c>
    </row>
    <row r="1303">
      <c r="A1303" t="inlineStr">
        <is>
          <t>No</t>
        </is>
      </c>
      <c r="B1303" t="inlineStr">
        <is>
          <t>HV8964.C5 W85 1996</t>
        </is>
      </c>
      <c r="C1303" t="inlineStr">
        <is>
          <t>0                      HV 8964000C  5                  W  85          1996</t>
        </is>
      </c>
      <c r="D1303" t="inlineStr">
        <is>
          <t>Troublemaker : one man's crusade against China's cruelty / Harry Wu with George Vecsey.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Wu, Hongda Harry.</t>
        </is>
      </c>
      <c r="L1303" t="inlineStr">
        <is>
          <t>New York : Times Books, c1996.</t>
        </is>
      </c>
      <c r="M1303" t="inlineStr">
        <is>
          <t>1996</t>
        </is>
      </c>
      <c r="N1303" t="inlineStr">
        <is>
          <t>1st ed.</t>
        </is>
      </c>
      <c r="O1303" t="inlineStr">
        <is>
          <t>eng</t>
        </is>
      </c>
      <c r="P1303" t="inlineStr">
        <is>
          <t>nyu</t>
        </is>
      </c>
      <c r="R1303" t="inlineStr">
        <is>
          <t xml:space="preserve">HV </t>
        </is>
      </c>
      <c r="S1303" t="n">
        <v>4</v>
      </c>
      <c r="T1303" t="n">
        <v>4</v>
      </c>
      <c r="U1303" t="inlineStr">
        <is>
          <t>2000-12-02</t>
        </is>
      </c>
      <c r="V1303" t="inlineStr">
        <is>
          <t>2000-12-02</t>
        </is>
      </c>
      <c r="W1303" t="inlineStr">
        <is>
          <t>1996-12-11</t>
        </is>
      </c>
      <c r="X1303" t="inlineStr">
        <is>
          <t>1996-12-11</t>
        </is>
      </c>
      <c r="Y1303" t="n">
        <v>817</v>
      </c>
      <c r="Z1303" t="n">
        <v>754</v>
      </c>
      <c r="AA1303" t="n">
        <v>805</v>
      </c>
      <c r="AB1303" t="n">
        <v>5</v>
      </c>
      <c r="AC1303" t="n">
        <v>5</v>
      </c>
      <c r="AD1303" t="n">
        <v>21</v>
      </c>
      <c r="AE1303" t="n">
        <v>22</v>
      </c>
      <c r="AF1303" t="n">
        <v>5</v>
      </c>
      <c r="AG1303" t="n">
        <v>6</v>
      </c>
      <c r="AH1303" t="n">
        <v>7</v>
      </c>
      <c r="AI1303" t="n">
        <v>7</v>
      </c>
      <c r="AJ1303" t="n">
        <v>12</v>
      </c>
      <c r="AK1303" t="n">
        <v>12</v>
      </c>
      <c r="AL1303" t="n">
        <v>4</v>
      </c>
      <c r="AM1303" t="n">
        <v>4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HYPERLINK("https://creighton-primo.hosted.exlibrisgroup.com/primo-explore/search?tab=default_tab&amp;search_scope=EVERYTHING&amp;vid=01CRU&amp;lang=en_US&amp;offset=0&amp;query=any,contains,991002654629702656","Catalog Record")</f>
        <v/>
      </c>
      <c r="AT1303">
        <f>HYPERLINK("http://www.worldcat.org/oclc/34705050","WorldCat Record")</f>
        <v/>
      </c>
      <c r="AU1303" t="inlineStr">
        <is>
          <t>614177:eng</t>
        </is>
      </c>
      <c r="AV1303" t="inlineStr">
        <is>
          <t>34705050</t>
        </is>
      </c>
      <c r="AW1303" t="inlineStr">
        <is>
          <t>991002654629702656</t>
        </is>
      </c>
      <c r="AX1303" t="inlineStr">
        <is>
          <t>991002654629702656</t>
        </is>
      </c>
      <c r="AY1303" t="inlineStr">
        <is>
          <t>2264624600002656</t>
        </is>
      </c>
      <c r="AZ1303" t="inlineStr">
        <is>
          <t>BOOK</t>
        </is>
      </c>
      <c r="BB1303" t="inlineStr">
        <is>
          <t>9780812963748</t>
        </is>
      </c>
      <c r="BC1303" t="inlineStr">
        <is>
          <t>32285002391893</t>
        </is>
      </c>
      <c r="BD1303" t="inlineStr">
        <is>
          <t>893691841</t>
        </is>
      </c>
    </row>
    <row r="1304">
      <c r="A1304" t="inlineStr">
        <is>
          <t>No</t>
        </is>
      </c>
      <c r="B1304" t="inlineStr">
        <is>
          <t>HV8978.F7 P6 1969</t>
        </is>
      </c>
      <c r="C1304" t="inlineStr">
        <is>
          <t>0                      HV 8978000F  7                  P  6           1969</t>
        </is>
      </c>
      <c r="D1304" t="inlineStr">
        <is>
          <t>Elizabeth Fry.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Yes</t>
        </is>
      </c>
      <c r="J1304" t="inlineStr">
        <is>
          <t>0</t>
        </is>
      </c>
      <c r="K1304" t="inlineStr">
        <is>
          <t>Pitman, Emma Raymond.</t>
        </is>
      </c>
      <c r="L1304" t="inlineStr">
        <is>
          <t>New York, Greenwood Press [1969]</t>
        </is>
      </c>
      <c r="M1304" t="inlineStr">
        <is>
          <t>1969</t>
        </is>
      </c>
      <c r="O1304" t="inlineStr">
        <is>
          <t>eng</t>
        </is>
      </c>
      <c r="P1304" t="inlineStr">
        <is>
          <t>nyu</t>
        </is>
      </c>
      <c r="R1304" t="inlineStr">
        <is>
          <t xml:space="preserve">HV </t>
        </is>
      </c>
      <c r="S1304" t="n">
        <v>2</v>
      </c>
      <c r="T1304" t="n">
        <v>2</v>
      </c>
      <c r="U1304" t="inlineStr">
        <is>
          <t>2001-11-13</t>
        </is>
      </c>
      <c r="V1304" t="inlineStr">
        <is>
          <t>2001-11-13</t>
        </is>
      </c>
      <c r="W1304" t="inlineStr">
        <is>
          <t>1997-08-25</t>
        </is>
      </c>
      <c r="X1304" t="inlineStr">
        <is>
          <t>1997-08-25</t>
        </is>
      </c>
      <c r="Y1304" t="n">
        <v>223</v>
      </c>
      <c r="Z1304" t="n">
        <v>197</v>
      </c>
      <c r="AA1304" t="n">
        <v>743</v>
      </c>
      <c r="AB1304" t="n">
        <v>2</v>
      </c>
      <c r="AC1304" t="n">
        <v>6</v>
      </c>
      <c r="AD1304" t="n">
        <v>8</v>
      </c>
      <c r="AE1304" t="n">
        <v>45</v>
      </c>
      <c r="AF1304" t="n">
        <v>1</v>
      </c>
      <c r="AG1304" t="n">
        <v>10</v>
      </c>
      <c r="AH1304" t="n">
        <v>4</v>
      </c>
      <c r="AI1304" t="n">
        <v>8</v>
      </c>
      <c r="AJ1304" t="n">
        <v>3</v>
      </c>
      <c r="AK1304" t="n">
        <v>12</v>
      </c>
      <c r="AL1304" t="n">
        <v>1</v>
      </c>
      <c r="AM1304" t="n">
        <v>3</v>
      </c>
      <c r="AN1304" t="n">
        <v>0</v>
      </c>
      <c r="AO1304" t="n">
        <v>17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HYPERLINK("http://catalog.hathitrust.org/Record/004403090","HathiTrust Record")</f>
        <v/>
      </c>
      <c r="AS1304">
        <f>HYPERLINK("https://creighton-primo.hosted.exlibrisgroup.com/primo-explore/search?tab=default_tab&amp;search_scope=EVERYTHING&amp;vid=01CRU&amp;lang=en_US&amp;offset=0&amp;query=any,contains,991001227949702656","Catalog Record")</f>
        <v/>
      </c>
      <c r="AT1304">
        <f>HYPERLINK("http://www.worldcat.org/oclc/200860","WorldCat Record")</f>
        <v/>
      </c>
      <c r="AU1304" t="inlineStr">
        <is>
          <t>1252798:eng</t>
        </is>
      </c>
      <c r="AV1304" t="inlineStr">
        <is>
          <t>200860</t>
        </is>
      </c>
      <c r="AW1304" t="inlineStr">
        <is>
          <t>991001227949702656</t>
        </is>
      </c>
      <c r="AX1304" t="inlineStr">
        <is>
          <t>991001227949702656</t>
        </is>
      </c>
      <c r="AY1304" t="inlineStr">
        <is>
          <t>2258939960002656</t>
        </is>
      </c>
      <c r="AZ1304" t="inlineStr">
        <is>
          <t>BOOK</t>
        </is>
      </c>
      <c r="BC1304" t="inlineStr">
        <is>
          <t>32285003159265</t>
        </is>
      </c>
      <c r="BD1304" t="inlineStr">
        <is>
          <t>893690449</t>
        </is>
      </c>
    </row>
    <row r="1305">
      <c r="A1305" t="inlineStr">
        <is>
          <t>No</t>
        </is>
      </c>
      <c r="B1305" t="inlineStr">
        <is>
          <t>HV90 .G53 1992</t>
        </is>
      </c>
      <c r="C1305" t="inlineStr">
        <is>
          <t>0                      HV 0090000G  53          1992</t>
        </is>
      </c>
      <c r="D1305" t="inlineStr">
        <is>
          <t>Social work almanac / by Leon Ginsberg.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Ginsberg, Leon H.</t>
        </is>
      </c>
      <c r="L1305" t="inlineStr">
        <is>
          <t>Washington, DC : NASW Press, c1992.</t>
        </is>
      </c>
      <c r="M1305" t="inlineStr">
        <is>
          <t>1992</t>
        </is>
      </c>
      <c r="O1305" t="inlineStr">
        <is>
          <t>eng</t>
        </is>
      </c>
      <c r="P1305" t="inlineStr">
        <is>
          <t>dcu</t>
        </is>
      </c>
      <c r="R1305" t="inlineStr">
        <is>
          <t xml:space="preserve">HV </t>
        </is>
      </c>
      <c r="S1305" t="n">
        <v>2</v>
      </c>
      <c r="T1305" t="n">
        <v>2</v>
      </c>
      <c r="U1305" t="inlineStr">
        <is>
          <t>1998-10-27</t>
        </is>
      </c>
      <c r="V1305" t="inlineStr">
        <is>
          <t>1998-10-27</t>
        </is>
      </c>
      <c r="W1305" t="inlineStr">
        <is>
          <t>1993-03-25</t>
        </is>
      </c>
      <c r="X1305" t="inlineStr">
        <is>
          <t>1993-03-25</t>
        </is>
      </c>
      <c r="Y1305" t="n">
        <v>288</v>
      </c>
      <c r="Z1305" t="n">
        <v>265</v>
      </c>
      <c r="AA1305" t="n">
        <v>541</v>
      </c>
      <c r="AB1305" t="n">
        <v>2</v>
      </c>
      <c r="AC1305" t="n">
        <v>5</v>
      </c>
      <c r="AD1305" t="n">
        <v>7</v>
      </c>
      <c r="AE1305" t="n">
        <v>20</v>
      </c>
      <c r="AF1305" t="n">
        <v>2</v>
      </c>
      <c r="AG1305" t="n">
        <v>5</v>
      </c>
      <c r="AH1305" t="n">
        <v>1</v>
      </c>
      <c r="AI1305" t="n">
        <v>4</v>
      </c>
      <c r="AJ1305" t="n">
        <v>5</v>
      </c>
      <c r="AK1305" t="n">
        <v>10</v>
      </c>
      <c r="AL1305" t="n">
        <v>1</v>
      </c>
      <c r="AM1305" t="n">
        <v>4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No</t>
        </is>
      </c>
      <c r="AS1305">
        <f>HYPERLINK("https://creighton-primo.hosted.exlibrisgroup.com/primo-explore/search?tab=default_tab&amp;search_scope=EVERYTHING&amp;vid=01CRU&amp;lang=en_US&amp;offset=0&amp;query=any,contains,991002064939702656","Catalog Record")</f>
        <v/>
      </c>
      <c r="AT1305">
        <f>HYPERLINK("http://www.worldcat.org/oclc/26401528","WorldCat Record")</f>
        <v/>
      </c>
      <c r="AU1305" t="inlineStr">
        <is>
          <t>28599529:eng</t>
        </is>
      </c>
      <c r="AV1305" t="inlineStr">
        <is>
          <t>26401528</t>
        </is>
      </c>
      <c r="AW1305" t="inlineStr">
        <is>
          <t>991002064939702656</t>
        </is>
      </c>
      <c r="AX1305" t="inlineStr">
        <is>
          <t>991002064939702656</t>
        </is>
      </c>
      <c r="AY1305" t="inlineStr">
        <is>
          <t>2265497880002656</t>
        </is>
      </c>
      <c r="AZ1305" t="inlineStr">
        <is>
          <t>BOOK</t>
        </is>
      </c>
      <c r="BB1305" t="inlineStr">
        <is>
          <t>9780871011961</t>
        </is>
      </c>
      <c r="BC1305" t="inlineStr">
        <is>
          <t>32285001498921</t>
        </is>
      </c>
      <c r="BD1305" t="inlineStr">
        <is>
          <t>893603161</t>
        </is>
      </c>
    </row>
    <row r="1306">
      <c r="A1306" t="inlineStr">
        <is>
          <t>No</t>
        </is>
      </c>
      <c r="B1306" t="inlineStr">
        <is>
          <t>HV901.G7 G43 1983</t>
        </is>
      </c>
      <c r="C1306" t="inlineStr">
        <is>
          <t>0                      HV 0901000G  7                  G  43          1983</t>
        </is>
      </c>
      <c r="D1306" t="inlineStr">
        <is>
          <t>Unshared care : parents and their disabled children / Caroline Glendinning.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K1306" t="inlineStr">
        <is>
          <t>Glendinning, Caroline, 1950-</t>
        </is>
      </c>
      <c r="L1306" t="inlineStr">
        <is>
          <t>London ; Boston : Routledge &amp; K. Paul, 1983.</t>
        </is>
      </c>
      <c r="M1306" t="inlineStr">
        <is>
          <t>1983</t>
        </is>
      </c>
      <c r="O1306" t="inlineStr">
        <is>
          <t>eng</t>
        </is>
      </c>
      <c r="P1306" t="inlineStr">
        <is>
          <t>enk</t>
        </is>
      </c>
      <c r="Q1306" t="inlineStr">
        <is>
          <t>International library of social policy</t>
        </is>
      </c>
      <c r="R1306" t="inlineStr">
        <is>
          <t xml:space="preserve">HV </t>
        </is>
      </c>
      <c r="S1306" t="n">
        <v>2</v>
      </c>
      <c r="T1306" t="n">
        <v>2</v>
      </c>
      <c r="U1306" t="inlineStr">
        <is>
          <t>2009-09-21</t>
        </is>
      </c>
      <c r="V1306" t="inlineStr">
        <is>
          <t>2009-09-21</t>
        </is>
      </c>
      <c r="W1306" t="inlineStr">
        <is>
          <t>1990-04-30</t>
        </is>
      </c>
      <c r="X1306" t="inlineStr">
        <is>
          <t>1990-04-30</t>
        </is>
      </c>
      <c r="Y1306" t="n">
        <v>236</v>
      </c>
      <c r="Z1306" t="n">
        <v>123</v>
      </c>
      <c r="AA1306" t="n">
        <v>130</v>
      </c>
      <c r="AB1306" t="n">
        <v>1</v>
      </c>
      <c r="AC1306" t="n">
        <v>1</v>
      </c>
      <c r="AD1306" t="n">
        <v>2</v>
      </c>
      <c r="AE1306" t="n">
        <v>2</v>
      </c>
      <c r="AF1306" t="n">
        <v>1</v>
      </c>
      <c r="AG1306" t="n">
        <v>1</v>
      </c>
      <c r="AH1306" t="n">
        <v>1</v>
      </c>
      <c r="AI1306" t="n">
        <v>1</v>
      </c>
      <c r="AJ1306" t="n">
        <v>1</v>
      </c>
      <c r="AK1306" t="n">
        <v>1</v>
      </c>
      <c r="AL1306" t="n">
        <v>0</v>
      </c>
      <c r="AM1306" t="n">
        <v>0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HYPERLINK("http://catalog.hathitrust.org/Record/000119339","HathiTrust Record")</f>
        <v/>
      </c>
      <c r="AS1306">
        <f>HYPERLINK("https://creighton-primo.hosted.exlibrisgroup.com/primo-explore/search?tab=default_tab&amp;search_scope=EVERYTHING&amp;vid=01CRU&amp;lang=en_US&amp;offset=0&amp;query=any,contains,991000192219702656","Catalog Record")</f>
        <v/>
      </c>
      <c r="AT1306">
        <f>HYPERLINK("http://www.worldcat.org/oclc/9413327","WorldCat Record")</f>
        <v/>
      </c>
      <c r="AU1306" t="inlineStr">
        <is>
          <t>836721238:eng</t>
        </is>
      </c>
      <c r="AV1306" t="inlineStr">
        <is>
          <t>9413327</t>
        </is>
      </c>
      <c r="AW1306" t="inlineStr">
        <is>
          <t>991000192219702656</t>
        </is>
      </c>
      <c r="AX1306" t="inlineStr">
        <is>
          <t>991000192219702656</t>
        </is>
      </c>
      <c r="AY1306" t="inlineStr">
        <is>
          <t>2263970530002656</t>
        </is>
      </c>
      <c r="AZ1306" t="inlineStr">
        <is>
          <t>BOOK</t>
        </is>
      </c>
      <c r="BB1306" t="inlineStr">
        <is>
          <t>9780710094681</t>
        </is>
      </c>
      <c r="BC1306" t="inlineStr">
        <is>
          <t>32285000134899</t>
        </is>
      </c>
      <c r="BD1306" t="inlineStr">
        <is>
          <t>893777774</t>
        </is>
      </c>
    </row>
    <row r="1307">
      <c r="A1307" t="inlineStr">
        <is>
          <t>No</t>
        </is>
      </c>
      <c r="B1307" t="inlineStr">
        <is>
          <t>HV9025 .B68</t>
        </is>
      </c>
      <c r="C1307" t="inlineStr">
        <is>
          <t>0                      HV 9025000B  68</t>
        </is>
      </c>
      <c r="D1307" t="inlineStr">
        <is>
          <t>Prison victimization / Lee H. Bowker.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Bowker, Lee H.</t>
        </is>
      </c>
      <c r="L1307" t="inlineStr">
        <is>
          <t>New York : Elsevier, c1980.</t>
        </is>
      </c>
      <c r="M1307" t="inlineStr">
        <is>
          <t>1980</t>
        </is>
      </c>
      <c r="O1307" t="inlineStr">
        <is>
          <t>eng</t>
        </is>
      </c>
      <c r="P1307" t="inlineStr">
        <is>
          <t>nyu</t>
        </is>
      </c>
      <c r="R1307" t="inlineStr">
        <is>
          <t xml:space="preserve">HV </t>
        </is>
      </c>
      <c r="S1307" t="n">
        <v>11</v>
      </c>
      <c r="T1307" t="n">
        <v>11</v>
      </c>
      <c r="U1307" t="inlineStr">
        <is>
          <t>2008-03-20</t>
        </is>
      </c>
      <c r="V1307" t="inlineStr">
        <is>
          <t>2008-03-20</t>
        </is>
      </c>
      <c r="W1307" t="inlineStr">
        <is>
          <t>1990-03-12</t>
        </is>
      </c>
      <c r="X1307" t="inlineStr">
        <is>
          <t>1990-03-12</t>
        </is>
      </c>
      <c r="Y1307" t="n">
        <v>551</v>
      </c>
      <c r="Z1307" t="n">
        <v>467</v>
      </c>
      <c r="AA1307" t="n">
        <v>469</v>
      </c>
      <c r="AB1307" t="n">
        <v>5</v>
      </c>
      <c r="AC1307" t="n">
        <v>5</v>
      </c>
      <c r="AD1307" t="n">
        <v>26</v>
      </c>
      <c r="AE1307" t="n">
        <v>26</v>
      </c>
      <c r="AF1307" t="n">
        <v>8</v>
      </c>
      <c r="AG1307" t="n">
        <v>8</v>
      </c>
      <c r="AH1307" t="n">
        <v>4</v>
      </c>
      <c r="AI1307" t="n">
        <v>4</v>
      </c>
      <c r="AJ1307" t="n">
        <v>9</v>
      </c>
      <c r="AK1307" t="n">
        <v>9</v>
      </c>
      <c r="AL1307" t="n">
        <v>4</v>
      </c>
      <c r="AM1307" t="n">
        <v>4</v>
      </c>
      <c r="AN1307" t="n">
        <v>6</v>
      </c>
      <c r="AO1307" t="n">
        <v>6</v>
      </c>
      <c r="AP1307" t="inlineStr">
        <is>
          <t>No</t>
        </is>
      </c>
      <c r="AQ1307" t="inlineStr">
        <is>
          <t>Yes</t>
        </is>
      </c>
      <c r="AR1307">
        <f>HYPERLINK("http://catalog.hathitrust.org/Record/000225759","HathiTrust Record")</f>
        <v/>
      </c>
      <c r="AS1307">
        <f>HYPERLINK("https://creighton-primo.hosted.exlibrisgroup.com/primo-explore/search?tab=default_tab&amp;search_scope=EVERYTHING&amp;vid=01CRU&amp;lang=en_US&amp;offset=0&amp;query=any,contains,991004969589702656","Catalog Record")</f>
        <v/>
      </c>
      <c r="AT1307">
        <f>HYPERLINK("http://www.worldcat.org/oclc/6356395","WorldCat Record")</f>
        <v/>
      </c>
      <c r="AU1307" t="inlineStr">
        <is>
          <t>21955257:eng</t>
        </is>
      </c>
      <c r="AV1307" t="inlineStr">
        <is>
          <t>6356395</t>
        </is>
      </c>
      <c r="AW1307" t="inlineStr">
        <is>
          <t>991004969589702656</t>
        </is>
      </c>
      <c r="AX1307" t="inlineStr">
        <is>
          <t>991004969589702656</t>
        </is>
      </c>
      <c r="AY1307" t="inlineStr">
        <is>
          <t>2257134120002656</t>
        </is>
      </c>
      <c r="AZ1307" t="inlineStr">
        <is>
          <t>BOOK</t>
        </is>
      </c>
      <c r="BB1307" t="inlineStr">
        <is>
          <t>9780444005519</t>
        </is>
      </c>
      <c r="BC1307" t="inlineStr">
        <is>
          <t>32285000065689</t>
        </is>
      </c>
      <c r="BD1307" t="inlineStr">
        <is>
          <t>893260379</t>
        </is>
      </c>
    </row>
    <row r="1308">
      <c r="A1308" t="inlineStr">
        <is>
          <t>No</t>
        </is>
      </c>
      <c r="B1308" t="inlineStr">
        <is>
          <t>HV9025 .P74</t>
        </is>
      </c>
      <c r="C1308" t="inlineStr">
        <is>
          <t>0                      HV 9025000P  74</t>
        </is>
      </c>
      <c r="D1308" t="inlineStr">
        <is>
          <t>Prison violence / edited by Albert K. Cohen, George F. Cole, Robert G. Bailey.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L1308" t="inlineStr">
        <is>
          <t>Lexington, Mass. : Lexington Books, c1976.</t>
        </is>
      </c>
      <c r="M1308" t="inlineStr">
        <is>
          <t>1976</t>
        </is>
      </c>
      <c r="O1308" t="inlineStr">
        <is>
          <t>eng</t>
        </is>
      </c>
      <c r="P1308" t="inlineStr">
        <is>
          <t>mau</t>
        </is>
      </c>
      <c r="R1308" t="inlineStr">
        <is>
          <t xml:space="preserve">HV </t>
        </is>
      </c>
      <c r="S1308" t="n">
        <v>4</v>
      </c>
      <c r="T1308" t="n">
        <v>4</v>
      </c>
      <c r="U1308" t="inlineStr">
        <is>
          <t>2008-03-20</t>
        </is>
      </c>
      <c r="V1308" t="inlineStr">
        <is>
          <t>2008-03-20</t>
        </is>
      </c>
      <c r="W1308" t="inlineStr">
        <is>
          <t>1997-08-25</t>
        </is>
      </c>
      <c r="X1308" t="inlineStr">
        <is>
          <t>1997-08-25</t>
        </is>
      </c>
      <c r="Y1308" t="n">
        <v>343</v>
      </c>
      <c r="Z1308" t="n">
        <v>282</v>
      </c>
      <c r="AA1308" t="n">
        <v>290</v>
      </c>
      <c r="AB1308" t="n">
        <v>3</v>
      </c>
      <c r="AC1308" t="n">
        <v>3</v>
      </c>
      <c r="AD1308" t="n">
        <v>13</v>
      </c>
      <c r="AE1308" t="n">
        <v>13</v>
      </c>
      <c r="AF1308" t="n">
        <v>3</v>
      </c>
      <c r="AG1308" t="n">
        <v>3</v>
      </c>
      <c r="AH1308" t="n">
        <v>3</v>
      </c>
      <c r="AI1308" t="n">
        <v>3</v>
      </c>
      <c r="AJ1308" t="n">
        <v>6</v>
      </c>
      <c r="AK1308" t="n">
        <v>6</v>
      </c>
      <c r="AL1308" t="n">
        <v>1</v>
      </c>
      <c r="AM1308" t="n">
        <v>1</v>
      </c>
      <c r="AN1308" t="n">
        <v>3</v>
      </c>
      <c r="AO1308" t="n">
        <v>3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HYPERLINK("http://catalog.hathitrust.org/Record/000700239","HathiTrust Record")</f>
        <v/>
      </c>
      <c r="AS1308">
        <f>HYPERLINK("https://creighton-primo.hosted.exlibrisgroup.com/primo-explore/search?tab=default_tab&amp;search_scope=EVERYTHING&amp;vid=01CRU&amp;lang=en_US&amp;offset=0&amp;query=any,contains,991004041099702656","Catalog Record")</f>
        <v/>
      </c>
      <c r="AT1308">
        <f>HYPERLINK("http://www.worldcat.org/oclc/2188447","WorldCat Record")</f>
        <v/>
      </c>
      <c r="AU1308" t="inlineStr">
        <is>
          <t>351190209:eng</t>
        </is>
      </c>
      <c r="AV1308" t="inlineStr">
        <is>
          <t>2188447</t>
        </is>
      </c>
      <c r="AW1308" t="inlineStr">
        <is>
          <t>991004041099702656</t>
        </is>
      </c>
      <c r="AX1308" t="inlineStr">
        <is>
          <t>991004041099702656</t>
        </is>
      </c>
      <c r="AY1308" t="inlineStr">
        <is>
          <t>2266710070002656</t>
        </is>
      </c>
      <c r="AZ1308" t="inlineStr">
        <is>
          <t>BOOK</t>
        </is>
      </c>
      <c r="BB1308" t="inlineStr">
        <is>
          <t>9780669001853</t>
        </is>
      </c>
      <c r="BC1308" t="inlineStr">
        <is>
          <t>32285003159273</t>
        </is>
      </c>
      <c r="BD1308" t="inlineStr">
        <is>
          <t>893775530</t>
        </is>
      </c>
    </row>
    <row r="1309">
      <c r="A1309" t="inlineStr">
        <is>
          <t>No</t>
        </is>
      </c>
      <c r="B1309" t="inlineStr">
        <is>
          <t>HV9025 .S94</t>
        </is>
      </c>
      <c r="C1309" t="inlineStr">
        <is>
          <t>0                      HV 9025000S  94</t>
        </is>
      </c>
      <c r="D1309" t="inlineStr">
        <is>
          <t>Prison homicide / by Sawyer F. Sylvester, John H. Reed, David O. Nelson.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Sylvester, Sawyer F.</t>
        </is>
      </c>
      <c r="L1309" t="inlineStr">
        <is>
          <t>Jamaica, N.Y. : Spectrum Publications ; New York : distributed by Halsted Press, c1977.</t>
        </is>
      </c>
      <c r="M1309" t="inlineStr">
        <is>
          <t>1977</t>
        </is>
      </c>
      <c r="O1309" t="inlineStr">
        <is>
          <t>eng</t>
        </is>
      </c>
      <c r="P1309" t="inlineStr">
        <is>
          <t>nyu</t>
        </is>
      </c>
      <c r="Q1309" t="inlineStr">
        <is>
          <t>Sociomedical science series</t>
        </is>
      </c>
      <c r="R1309" t="inlineStr">
        <is>
          <t xml:space="preserve">HV </t>
        </is>
      </c>
      <c r="S1309" t="n">
        <v>5</v>
      </c>
      <c r="T1309" t="n">
        <v>5</v>
      </c>
      <c r="U1309" t="inlineStr">
        <is>
          <t>2008-03-20</t>
        </is>
      </c>
      <c r="V1309" t="inlineStr">
        <is>
          <t>2008-03-20</t>
        </is>
      </c>
      <c r="W1309" t="inlineStr">
        <is>
          <t>1992-04-28</t>
        </is>
      </c>
      <c r="X1309" t="inlineStr">
        <is>
          <t>1992-04-28</t>
        </is>
      </c>
      <c r="Y1309" t="n">
        <v>321</v>
      </c>
      <c r="Z1309" t="n">
        <v>269</v>
      </c>
      <c r="AA1309" t="n">
        <v>275</v>
      </c>
      <c r="AB1309" t="n">
        <v>4</v>
      </c>
      <c r="AC1309" t="n">
        <v>4</v>
      </c>
      <c r="AD1309" t="n">
        <v>14</v>
      </c>
      <c r="AE1309" t="n">
        <v>14</v>
      </c>
      <c r="AF1309" t="n">
        <v>3</v>
      </c>
      <c r="AG1309" t="n">
        <v>3</v>
      </c>
      <c r="AH1309" t="n">
        <v>1</v>
      </c>
      <c r="AI1309" t="n">
        <v>1</v>
      </c>
      <c r="AJ1309" t="n">
        <v>5</v>
      </c>
      <c r="AK1309" t="n">
        <v>5</v>
      </c>
      <c r="AL1309" t="n">
        <v>3</v>
      </c>
      <c r="AM1309" t="n">
        <v>3</v>
      </c>
      <c r="AN1309" t="n">
        <v>4</v>
      </c>
      <c r="AO1309" t="n">
        <v>4</v>
      </c>
      <c r="AP1309" t="inlineStr">
        <is>
          <t>No</t>
        </is>
      </c>
      <c r="AQ1309" t="inlineStr">
        <is>
          <t>No</t>
        </is>
      </c>
      <c r="AS1309">
        <f>HYPERLINK("https://creighton-primo.hosted.exlibrisgroup.com/primo-explore/search?tab=default_tab&amp;search_scope=EVERYTHING&amp;vid=01CRU&amp;lang=en_US&amp;offset=0&amp;query=any,contains,991004362499702656","Catalog Record")</f>
        <v/>
      </c>
      <c r="AT1309">
        <f>HYPERLINK("http://www.worldcat.org/oclc/3168117","WorldCat Record")</f>
        <v/>
      </c>
      <c r="AU1309" t="inlineStr">
        <is>
          <t>8135936:eng</t>
        </is>
      </c>
      <c r="AV1309" t="inlineStr">
        <is>
          <t>3168117</t>
        </is>
      </c>
      <c r="AW1309" t="inlineStr">
        <is>
          <t>991004362499702656</t>
        </is>
      </c>
      <c r="AX1309" t="inlineStr">
        <is>
          <t>991004362499702656</t>
        </is>
      </c>
      <c r="AY1309" t="inlineStr">
        <is>
          <t>2262236570002656</t>
        </is>
      </c>
      <c r="AZ1309" t="inlineStr">
        <is>
          <t>BOOK</t>
        </is>
      </c>
      <c r="BB1309" t="inlineStr">
        <is>
          <t>9780470991817</t>
        </is>
      </c>
      <c r="BC1309" t="inlineStr">
        <is>
          <t>32285001095644</t>
        </is>
      </c>
      <c r="BD1309" t="inlineStr">
        <is>
          <t>893706313</t>
        </is>
      </c>
    </row>
    <row r="1310">
      <c r="A1310" t="inlineStr">
        <is>
          <t>No</t>
        </is>
      </c>
      <c r="B1310" t="inlineStr">
        <is>
          <t>HV903 .B47</t>
        </is>
      </c>
      <c r="C1310" t="inlineStr">
        <is>
          <t>0                      HV 0903000B  47</t>
        </is>
      </c>
      <c r="D1310" t="inlineStr">
        <is>
          <t>Individuals with physical disabilities : an introduction for educators / Gary A. Best.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Best, Gary A., 1939-</t>
        </is>
      </c>
      <c r="L1310" t="inlineStr">
        <is>
          <t>St. Louis : Mosby, 1978.</t>
        </is>
      </c>
      <c r="M1310" t="inlineStr">
        <is>
          <t>1978</t>
        </is>
      </c>
      <c r="O1310" t="inlineStr">
        <is>
          <t>eng</t>
        </is>
      </c>
      <c r="P1310" t="inlineStr">
        <is>
          <t>mou</t>
        </is>
      </c>
      <c r="R1310" t="inlineStr">
        <is>
          <t xml:space="preserve">HV </t>
        </is>
      </c>
      <c r="S1310" t="n">
        <v>7</v>
      </c>
      <c r="T1310" t="n">
        <v>7</v>
      </c>
      <c r="U1310" t="inlineStr">
        <is>
          <t>2000-03-19</t>
        </is>
      </c>
      <c r="V1310" t="inlineStr">
        <is>
          <t>2000-03-19</t>
        </is>
      </c>
      <c r="W1310" t="inlineStr">
        <is>
          <t>1993-05-18</t>
        </is>
      </c>
      <c r="X1310" t="inlineStr">
        <is>
          <t>1993-05-18</t>
        </is>
      </c>
      <c r="Y1310" t="n">
        <v>337</v>
      </c>
      <c r="Z1310" t="n">
        <v>275</v>
      </c>
      <c r="AA1310" t="n">
        <v>280</v>
      </c>
      <c r="AB1310" t="n">
        <v>2</v>
      </c>
      <c r="AC1310" t="n">
        <v>2</v>
      </c>
      <c r="AD1310" t="n">
        <v>10</v>
      </c>
      <c r="AE1310" t="n">
        <v>10</v>
      </c>
      <c r="AF1310" t="n">
        <v>6</v>
      </c>
      <c r="AG1310" t="n">
        <v>6</v>
      </c>
      <c r="AH1310" t="n">
        <v>0</v>
      </c>
      <c r="AI1310" t="n">
        <v>0</v>
      </c>
      <c r="AJ1310" t="n">
        <v>6</v>
      </c>
      <c r="AK1310" t="n">
        <v>6</v>
      </c>
      <c r="AL1310" t="n">
        <v>1</v>
      </c>
      <c r="AM1310" t="n">
        <v>1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HYPERLINK("https://creighton-primo.hosted.exlibrisgroup.com/primo-explore/search?tab=default_tab&amp;search_scope=EVERYTHING&amp;vid=01CRU&amp;lang=en_US&amp;offset=0&amp;query=any,contains,991004561989702656","Catalog Record")</f>
        <v/>
      </c>
      <c r="AT1310">
        <f>HYPERLINK("http://www.worldcat.org/oclc/4003556","WorldCat Record")</f>
        <v/>
      </c>
      <c r="AU1310" t="inlineStr">
        <is>
          <t>309322268:eng</t>
        </is>
      </c>
      <c r="AV1310" t="inlineStr">
        <is>
          <t>4003556</t>
        </is>
      </c>
      <c r="AW1310" t="inlineStr">
        <is>
          <t>991004561989702656</t>
        </is>
      </c>
      <c r="AX1310" t="inlineStr">
        <is>
          <t>991004561989702656</t>
        </is>
      </c>
      <c r="AY1310" t="inlineStr">
        <is>
          <t>2267735760002656</t>
        </is>
      </c>
      <c r="AZ1310" t="inlineStr">
        <is>
          <t>BOOK</t>
        </is>
      </c>
      <c r="BB1310" t="inlineStr">
        <is>
          <t>9780801606656</t>
        </is>
      </c>
      <c r="BC1310" t="inlineStr">
        <is>
          <t>32285001682854</t>
        </is>
      </c>
      <c r="BD1310" t="inlineStr">
        <is>
          <t>893350160</t>
        </is>
      </c>
    </row>
    <row r="1311">
      <c r="A1311" t="inlineStr">
        <is>
          <t>No</t>
        </is>
      </c>
      <c r="B1311" t="inlineStr">
        <is>
          <t>HV9058 .S9 1972</t>
        </is>
      </c>
      <c r="C1311" t="inlineStr">
        <is>
          <t>0                      HV 9058000S  9           1972</t>
        </is>
      </c>
      <c r="D1311" t="inlineStr">
        <is>
          <t>Delinquency, crime, and society / edited by James F. Short, Jr. ; contributors, Daniel J. Abbott ... [et al.].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Symposium on Juvenile Delinquency (1972 : University of Chicago)</t>
        </is>
      </c>
      <c r="L1311" t="inlineStr">
        <is>
          <t>Chicago : University of Chicago Press, c1976.</t>
        </is>
      </c>
      <c r="M1311" t="inlineStr">
        <is>
          <t>1976</t>
        </is>
      </c>
      <c r="O1311" t="inlineStr">
        <is>
          <t>eng</t>
        </is>
      </c>
      <c r="P1311" t="inlineStr">
        <is>
          <t>ilu</t>
        </is>
      </c>
      <c r="R1311" t="inlineStr">
        <is>
          <t xml:space="preserve">HV </t>
        </is>
      </c>
      <c r="S1311" t="n">
        <v>3</v>
      </c>
      <c r="T1311" t="n">
        <v>3</v>
      </c>
      <c r="U1311" t="inlineStr">
        <is>
          <t>2000-03-01</t>
        </is>
      </c>
      <c r="V1311" t="inlineStr">
        <is>
          <t>2000-03-01</t>
        </is>
      </c>
      <c r="W1311" t="inlineStr">
        <is>
          <t>1997-08-25</t>
        </is>
      </c>
      <c r="X1311" t="inlineStr">
        <is>
          <t>1997-08-25</t>
        </is>
      </c>
      <c r="Y1311" t="n">
        <v>670</v>
      </c>
      <c r="Z1311" t="n">
        <v>554</v>
      </c>
      <c r="AA1311" t="n">
        <v>583</v>
      </c>
      <c r="AB1311" t="n">
        <v>9</v>
      </c>
      <c r="AC1311" t="n">
        <v>9</v>
      </c>
      <c r="AD1311" t="n">
        <v>29</v>
      </c>
      <c r="AE1311" t="n">
        <v>31</v>
      </c>
      <c r="AF1311" t="n">
        <v>6</v>
      </c>
      <c r="AG1311" t="n">
        <v>8</v>
      </c>
      <c r="AH1311" t="n">
        <v>9</v>
      </c>
      <c r="AI1311" t="n">
        <v>9</v>
      </c>
      <c r="AJ1311" t="n">
        <v>8</v>
      </c>
      <c r="AK1311" t="n">
        <v>8</v>
      </c>
      <c r="AL1311" t="n">
        <v>6</v>
      </c>
      <c r="AM1311" t="n">
        <v>6</v>
      </c>
      <c r="AN1311" t="n">
        <v>6</v>
      </c>
      <c r="AO1311" t="n">
        <v>6</v>
      </c>
      <c r="AP1311" t="inlineStr">
        <is>
          <t>No</t>
        </is>
      </c>
      <c r="AQ1311" t="inlineStr">
        <is>
          <t>No</t>
        </is>
      </c>
      <c r="AS1311">
        <f>HYPERLINK("https://creighton-primo.hosted.exlibrisgroup.com/primo-explore/search?tab=default_tab&amp;search_scope=EVERYTHING&amp;vid=01CRU&amp;lang=en_US&amp;offset=0&amp;query=any,contains,991003987199702656","Catalog Record")</f>
        <v/>
      </c>
      <c r="AT1311">
        <f>HYPERLINK("http://www.worldcat.org/oclc/2034742","WorldCat Record")</f>
        <v/>
      </c>
      <c r="AU1311" t="inlineStr">
        <is>
          <t>780900537:eng</t>
        </is>
      </c>
      <c r="AV1311" t="inlineStr">
        <is>
          <t>2034742</t>
        </is>
      </c>
      <c r="AW1311" t="inlineStr">
        <is>
          <t>991003987199702656</t>
        </is>
      </c>
      <c r="AX1311" t="inlineStr">
        <is>
          <t>991003987199702656</t>
        </is>
      </c>
      <c r="AY1311" t="inlineStr">
        <is>
          <t>2270276130002656</t>
        </is>
      </c>
      <c r="AZ1311" t="inlineStr">
        <is>
          <t>BOOK</t>
        </is>
      </c>
      <c r="BB1311" t="inlineStr">
        <is>
          <t>9780226754680</t>
        </is>
      </c>
      <c r="BC1311" t="inlineStr">
        <is>
          <t>32285003159281</t>
        </is>
      </c>
      <c r="BD1311" t="inlineStr">
        <is>
          <t>893253105</t>
        </is>
      </c>
    </row>
    <row r="1312">
      <c r="A1312" t="inlineStr">
        <is>
          <t>No</t>
        </is>
      </c>
      <c r="B1312" t="inlineStr">
        <is>
          <t>HV9064 .L8 1964</t>
        </is>
      </c>
      <c r="C1312" t="inlineStr">
        <is>
          <t>0                      HV 9064000L  8           1964</t>
        </is>
      </c>
      <c r="D1312" t="inlineStr">
        <is>
          <t>Statistics on delinquents and delinquency / by Walter A. Lunden.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K1312" t="inlineStr">
        <is>
          <t>Lunden, Walter A. (Walter Albin), 1899-1990.</t>
        </is>
      </c>
      <c r="L1312" t="inlineStr">
        <is>
          <t>Springfield, Ill. : C. C. Thomas, [1964]</t>
        </is>
      </c>
      <c r="M1312" t="inlineStr">
        <is>
          <t>1964</t>
        </is>
      </c>
      <c r="O1312" t="inlineStr">
        <is>
          <t>eng</t>
        </is>
      </c>
      <c r="P1312" t="inlineStr">
        <is>
          <t>ilu</t>
        </is>
      </c>
      <c r="R1312" t="inlineStr">
        <is>
          <t xml:space="preserve">HV </t>
        </is>
      </c>
      <c r="S1312" t="n">
        <v>1</v>
      </c>
      <c r="T1312" t="n">
        <v>1</v>
      </c>
      <c r="U1312" t="inlineStr">
        <is>
          <t>1993-05-04</t>
        </is>
      </c>
      <c r="V1312" t="inlineStr">
        <is>
          <t>1993-05-04</t>
        </is>
      </c>
      <c r="W1312" t="inlineStr">
        <is>
          <t>1992-03-26</t>
        </is>
      </c>
      <c r="X1312" t="inlineStr">
        <is>
          <t>1992-03-26</t>
        </is>
      </c>
      <c r="Y1312" t="n">
        <v>372</v>
      </c>
      <c r="Z1312" t="n">
        <v>320</v>
      </c>
      <c r="AA1312" t="n">
        <v>331</v>
      </c>
      <c r="AB1312" t="n">
        <v>4</v>
      </c>
      <c r="AC1312" t="n">
        <v>4</v>
      </c>
      <c r="AD1312" t="n">
        <v>17</v>
      </c>
      <c r="AE1312" t="n">
        <v>18</v>
      </c>
      <c r="AF1312" t="n">
        <v>6</v>
      </c>
      <c r="AG1312" t="n">
        <v>7</v>
      </c>
      <c r="AH1312" t="n">
        <v>3</v>
      </c>
      <c r="AI1312" t="n">
        <v>3</v>
      </c>
      <c r="AJ1312" t="n">
        <v>4</v>
      </c>
      <c r="AK1312" t="n">
        <v>5</v>
      </c>
      <c r="AL1312" t="n">
        <v>3</v>
      </c>
      <c r="AM1312" t="n">
        <v>3</v>
      </c>
      <c r="AN1312" t="n">
        <v>4</v>
      </c>
      <c r="AO1312" t="n">
        <v>4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HYPERLINK("http://catalog.hathitrust.org/Record/001135620","HathiTrust Record")</f>
        <v/>
      </c>
      <c r="AS1312">
        <f>HYPERLINK("https://creighton-primo.hosted.exlibrisgroup.com/primo-explore/search?tab=default_tab&amp;search_scope=EVERYTHING&amp;vid=01CRU&amp;lang=en_US&amp;offset=0&amp;query=any,contains,991002096229702656","Catalog Record")</f>
        <v/>
      </c>
      <c r="AT1312">
        <f>HYPERLINK("http://www.worldcat.org/oclc/265685","WorldCat Record")</f>
        <v/>
      </c>
      <c r="AU1312" t="inlineStr">
        <is>
          <t>1382901:eng</t>
        </is>
      </c>
      <c r="AV1312" t="inlineStr">
        <is>
          <t>265685</t>
        </is>
      </c>
      <c r="AW1312" t="inlineStr">
        <is>
          <t>991002096229702656</t>
        </is>
      </c>
      <c r="AX1312" t="inlineStr">
        <is>
          <t>991002096229702656</t>
        </is>
      </c>
      <c r="AY1312" t="inlineStr">
        <is>
          <t>2267787070002656</t>
        </is>
      </c>
      <c r="AZ1312" t="inlineStr">
        <is>
          <t>BOOK</t>
        </is>
      </c>
      <c r="BC1312" t="inlineStr">
        <is>
          <t>32285001029171</t>
        </is>
      </c>
      <c r="BD1312" t="inlineStr">
        <is>
          <t>893866799</t>
        </is>
      </c>
    </row>
    <row r="1313">
      <c r="A1313" t="inlineStr">
        <is>
          <t>No</t>
        </is>
      </c>
      <c r="B1313" t="inlineStr">
        <is>
          <t>HV9067.H6 H44 1999</t>
        </is>
      </c>
      <c r="C1313" t="inlineStr">
        <is>
          <t>0                      HV 9067000H  6                  H  44          1999</t>
        </is>
      </c>
      <c r="D1313" t="inlineStr">
        <is>
          <t>Young killers : the challenge of juvenile homicide / Kathleen M. Heide.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K1313" t="inlineStr">
        <is>
          <t>Heide, Kathleen M.</t>
        </is>
      </c>
      <c r="L1313" t="inlineStr">
        <is>
          <t>Thousand Oaks, Calif. : Sage Publications, c1999.</t>
        </is>
      </c>
      <c r="M1313" t="inlineStr">
        <is>
          <t>1999</t>
        </is>
      </c>
      <c r="O1313" t="inlineStr">
        <is>
          <t>eng</t>
        </is>
      </c>
      <c r="P1313" t="inlineStr">
        <is>
          <t>cau</t>
        </is>
      </c>
      <c r="R1313" t="inlineStr">
        <is>
          <t xml:space="preserve">HV </t>
        </is>
      </c>
      <c r="S1313" t="n">
        <v>7</v>
      </c>
      <c r="T1313" t="n">
        <v>7</v>
      </c>
      <c r="U1313" t="inlineStr">
        <is>
          <t>2005-03-03</t>
        </is>
      </c>
      <c r="V1313" t="inlineStr">
        <is>
          <t>2005-03-03</t>
        </is>
      </c>
      <c r="W1313" t="inlineStr">
        <is>
          <t>1999-08-31</t>
        </is>
      </c>
      <c r="X1313" t="inlineStr">
        <is>
          <t>1999-08-31</t>
        </is>
      </c>
      <c r="Y1313" t="n">
        <v>848</v>
      </c>
      <c r="Z1313" t="n">
        <v>752</v>
      </c>
      <c r="AA1313" t="n">
        <v>760</v>
      </c>
      <c r="AB1313" t="n">
        <v>7</v>
      </c>
      <c r="AC1313" t="n">
        <v>7</v>
      </c>
      <c r="AD1313" t="n">
        <v>36</v>
      </c>
      <c r="AE1313" t="n">
        <v>37</v>
      </c>
      <c r="AF1313" t="n">
        <v>16</v>
      </c>
      <c r="AG1313" t="n">
        <v>16</v>
      </c>
      <c r="AH1313" t="n">
        <v>5</v>
      </c>
      <c r="AI1313" t="n">
        <v>6</v>
      </c>
      <c r="AJ1313" t="n">
        <v>15</v>
      </c>
      <c r="AK1313" t="n">
        <v>15</v>
      </c>
      <c r="AL1313" t="n">
        <v>6</v>
      </c>
      <c r="AM1313" t="n">
        <v>6</v>
      </c>
      <c r="AN1313" t="n">
        <v>1</v>
      </c>
      <c r="AO1313" t="n">
        <v>1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HYPERLINK("https://creighton-primo.hosted.exlibrisgroup.com/primo-explore/search?tab=default_tab&amp;search_scope=EVERYTHING&amp;vid=01CRU&amp;lang=en_US&amp;offset=0&amp;query=any,contains,991002945719702656","Catalog Record")</f>
        <v/>
      </c>
      <c r="AT1313">
        <f>HYPERLINK("http://www.worldcat.org/oclc/39223637","WorldCat Record")</f>
        <v/>
      </c>
      <c r="AU1313" t="inlineStr">
        <is>
          <t>42036212:eng</t>
        </is>
      </c>
      <c r="AV1313" t="inlineStr">
        <is>
          <t>39223637</t>
        </is>
      </c>
      <c r="AW1313" t="inlineStr">
        <is>
          <t>991002945719702656</t>
        </is>
      </c>
      <c r="AX1313" t="inlineStr">
        <is>
          <t>991002945719702656</t>
        </is>
      </c>
      <c r="AY1313" t="inlineStr">
        <is>
          <t>2270659980002656</t>
        </is>
      </c>
      <c r="AZ1313" t="inlineStr">
        <is>
          <t>BOOK</t>
        </is>
      </c>
      <c r="BB1313" t="inlineStr">
        <is>
          <t>9780761900627</t>
        </is>
      </c>
      <c r="BC1313" t="inlineStr">
        <is>
          <t>32285003585246</t>
        </is>
      </c>
      <c r="BD1313" t="inlineStr">
        <is>
          <t>893616795</t>
        </is>
      </c>
    </row>
    <row r="1314">
      <c r="A1314" t="inlineStr">
        <is>
          <t>No</t>
        </is>
      </c>
      <c r="B1314" t="inlineStr">
        <is>
          <t>HV9067.S48 D53 2009</t>
        </is>
      </c>
      <c r="C1314" t="inlineStr">
        <is>
          <t>0                      HV 9067000S  48                 D  53          2009</t>
        </is>
      </c>
      <c r="D1314" t="inlineStr">
        <is>
          <t>The perversion of youth : controversies in the assessment and treatment of juvenile sex offenders / Frank C. DiCataldo.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DiCataldo, Frank C.</t>
        </is>
      </c>
      <c r="L1314" t="inlineStr">
        <is>
          <t>New York : New York University Press, c2009.</t>
        </is>
      </c>
      <c r="M1314" t="inlineStr">
        <is>
          <t>2009</t>
        </is>
      </c>
      <c r="O1314" t="inlineStr">
        <is>
          <t>eng</t>
        </is>
      </c>
      <c r="P1314" t="inlineStr">
        <is>
          <t>nyu</t>
        </is>
      </c>
      <c r="Q1314" t="inlineStr">
        <is>
          <t>Psychology and crime series</t>
        </is>
      </c>
      <c r="R1314" t="inlineStr">
        <is>
          <t xml:space="preserve">HV </t>
        </is>
      </c>
      <c r="S1314" t="n">
        <v>1</v>
      </c>
      <c r="T1314" t="n">
        <v>1</v>
      </c>
      <c r="U1314" t="inlineStr">
        <is>
          <t>2009-09-22</t>
        </is>
      </c>
      <c r="V1314" t="inlineStr">
        <is>
          <t>2009-09-22</t>
        </is>
      </c>
      <c r="W1314" t="inlineStr">
        <is>
          <t>2009-09-22</t>
        </is>
      </c>
      <c r="X1314" t="inlineStr">
        <is>
          <t>2009-09-22</t>
        </is>
      </c>
      <c r="Y1314" t="n">
        <v>348</v>
      </c>
      <c r="Z1314" t="n">
        <v>298</v>
      </c>
      <c r="AA1314" t="n">
        <v>717</v>
      </c>
      <c r="AB1314" t="n">
        <v>3</v>
      </c>
      <c r="AC1314" t="n">
        <v>6</v>
      </c>
      <c r="AD1314" t="n">
        <v>18</v>
      </c>
      <c r="AE1314" t="n">
        <v>36</v>
      </c>
      <c r="AF1314" t="n">
        <v>9</v>
      </c>
      <c r="AG1314" t="n">
        <v>15</v>
      </c>
      <c r="AH1314" t="n">
        <v>1</v>
      </c>
      <c r="AI1314" t="n">
        <v>6</v>
      </c>
      <c r="AJ1314" t="n">
        <v>11</v>
      </c>
      <c r="AK1314" t="n">
        <v>16</v>
      </c>
      <c r="AL1314" t="n">
        <v>2</v>
      </c>
      <c r="AM1314" t="n">
        <v>5</v>
      </c>
      <c r="AN1314" t="n">
        <v>0</v>
      </c>
      <c r="AO1314" t="n">
        <v>1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HYPERLINK("https://creighton-primo.hosted.exlibrisgroup.com/primo-explore/search?tab=default_tab&amp;search_scope=EVERYTHING&amp;vid=01CRU&amp;lang=en_US&amp;offset=0&amp;query=any,contains,991005334639702656","Catalog Record")</f>
        <v/>
      </c>
      <c r="AT1314">
        <f>HYPERLINK("http://www.worldcat.org/oclc/276816808","WorldCat Record")</f>
        <v/>
      </c>
      <c r="AU1314" t="inlineStr">
        <is>
          <t>159582520:eng</t>
        </is>
      </c>
      <c r="AV1314" t="inlineStr">
        <is>
          <t>276816808</t>
        </is>
      </c>
      <c r="AW1314" t="inlineStr">
        <is>
          <t>991005334639702656</t>
        </is>
      </c>
      <c r="AX1314" t="inlineStr">
        <is>
          <t>991005334639702656</t>
        </is>
      </c>
      <c r="AY1314" t="inlineStr">
        <is>
          <t>2267800320002656</t>
        </is>
      </c>
      <c r="AZ1314" t="inlineStr">
        <is>
          <t>BOOK</t>
        </is>
      </c>
      <c r="BB1314" t="inlineStr">
        <is>
          <t>9780814720011</t>
        </is>
      </c>
      <c r="BC1314" t="inlineStr">
        <is>
          <t>32285005544977</t>
        </is>
      </c>
      <c r="BD1314" t="inlineStr">
        <is>
          <t>893431250</t>
        </is>
      </c>
    </row>
    <row r="1315">
      <c r="A1315" t="inlineStr">
        <is>
          <t>No</t>
        </is>
      </c>
      <c r="B1315" t="inlineStr">
        <is>
          <t>HV9069 .B52 1987</t>
        </is>
      </c>
      <c r="C1315" t="inlineStr">
        <is>
          <t>0                      HV 9069000B  52          1987</t>
        </is>
      </c>
      <c r="D1315" t="inlineStr">
        <is>
          <t>Behavioral approaches to crime and delinquency : a handbook of application, research, and concepts / edited by Edward K. Morris and Curtis J. Braukmann.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L1315" t="inlineStr">
        <is>
          <t>New York : Plenum Press, c1987.</t>
        </is>
      </c>
      <c r="M1315" t="inlineStr">
        <is>
          <t>1987</t>
        </is>
      </c>
      <c r="O1315" t="inlineStr">
        <is>
          <t>eng</t>
        </is>
      </c>
      <c r="P1315" t="inlineStr">
        <is>
          <t>nyu</t>
        </is>
      </c>
      <c r="R1315" t="inlineStr">
        <is>
          <t xml:space="preserve">HV </t>
        </is>
      </c>
      <c r="S1315" t="n">
        <v>14</v>
      </c>
      <c r="T1315" t="n">
        <v>14</v>
      </c>
      <c r="U1315" t="inlineStr">
        <is>
          <t>2008-08-28</t>
        </is>
      </c>
      <c r="V1315" t="inlineStr">
        <is>
          <t>2008-08-28</t>
        </is>
      </c>
      <c r="W1315" t="inlineStr">
        <is>
          <t>1990-05-03</t>
        </is>
      </c>
      <c r="X1315" t="inlineStr">
        <is>
          <t>1990-05-03</t>
        </is>
      </c>
      <c r="Y1315" t="n">
        <v>361</v>
      </c>
      <c r="Z1315" t="n">
        <v>268</v>
      </c>
      <c r="AA1315" t="n">
        <v>290</v>
      </c>
      <c r="AB1315" t="n">
        <v>2</v>
      </c>
      <c r="AC1315" t="n">
        <v>2</v>
      </c>
      <c r="AD1315" t="n">
        <v>8</v>
      </c>
      <c r="AE1315" t="n">
        <v>10</v>
      </c>
      <c r="AF1315" t="n">
        <v>2</v>
      </c>
      <c r="AG1315" t="n">
        <v>4</v>
      </c>
      <c r="AH1315" t="n">
        <v>3</v>
      </c>
      <c r="AI1315" t="n">
        <v>3</v>
      </c>
      <c r="AJ1315" t="n">
        <v>5</v>
      </c>
      <c r="AK1315" t="n">
        <v>6</v>
      </c>
      <c r="AL1315" t="n">
        <v>1</v>
      </c>
      <c r="AM1315" t="n">
        <v>1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Yes</t>
        </is>
      </c>
      <c r="AR1315">
        <f>HYPERLINK("http://catalog.hathitrust.org/Record/000901120","HathiTrust Record")</f>
        <v/>
      </c>
      <c r="AS1315">
        <f>HYPERLINK("https://creighton-primo.hosted.exlibrisgroup.com/primo-explore/search?tab=default_tab&amp;search_scope=EVERYTHING&amp;vid=01CRU&amp;lang=en_US&amp;offset=0&amp;query=any,contains,991001165019702656","Catalog Record")</f>
        <v/>
      </c>
      <c r="AT1315">
        <f>HYPERLINK("http://www.worldcat.org/oclc/16922669","WorldCat Record")</f>
        <v/>
      </c>
      <c r="AU1315" t="inlineStr">
        <is>
          <t>836731893:eng</t>
        </is>
      </c>
      <c r="AV1315" t="inlineStr">
        <is>
          <t>16922669</t>
        </is>
      </c>
      <c r="AW1315" t="inlineStr">
        <is>
          <t>991001165019702656</t>
        </is>
      </c>
      <c r="AX1315" t="inlineStr">
        <is>
          <t>991001165019702656</t>
        </is>
      </c>
      <c r="AY1315" t="inlineStr">
        <is>
          <t>2271871750002656</t>
        </is>
      </c>
      <c r="AZ1315" t="inlineStr">
        <is>
          <t>BOOK</t>
        </is>
      </c>
      <c r="BB1315" t="inlineStr">
        <is>
          <t>9780306426322</t>
        </is>
      </c>
      <c r="BC1315" t="inlineStr">
        <is>
          <t>32285000117639</t>
        </is>
      </c>
      <c r="BD1315" t="inlineStr">
        <is>
          <t>893709044</t>
        </is>
      </c>
    </row>
    <row r="1316">
      <c r="A1316" t="inlineStr">
        <is>
          <t>No</t>
        </is>
      </c>
      <c r="B1316" t="inlineStr">
        <is>
          <t>HV9069 .C38 1978</t>
        </is>
      </c>
      <c r="C1316" t="inlineStr">
        <is>
          <t>0                      HV 9069000C  38          1978</t>
        </is>
      </c>
      <c r="D1316" t="inlineStr">
        <is>
          <t>The Changing faces of juvenile justice / edited by V. Lorne Stewart.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L1316" t="inlineStr">
        <is>
          <t>New York : New York University Press, 1978.</t>
        </is>
      </c>
      <c r="M1316" t="inlineStr">
        <is>
          <t>1978</t>
        </is>
      </c>
      <c r="O1316" t="inlineStr">
        <is>
          <t>eng</t>
        </is>
      </c>
      <c r="P1316" t="inlineStr">
        <is>
          <t>nyu</t>
        </is>
      </c>
      <c r="Q1316" t="inlineStr">
        <is>
          <t>Monographs of the United Nations Crime Prevention and Criminal Justice Branch</t>
        </is>
      </c>
      <c r="R1316" t="inlineStr">
        <is>
          <t xml:space="preserve">HV </t>
        </is>
      </c>
      <c r="S1316" t="n">
        <v>3</v>
      </c>
      <c r="T1316" t="n">
        <v>3</v>
      </c>
      <c r="U1316" t="inlineStr">
        <is>
          <t>2008-03-19</t>
        </is>
      </c>
      <c r="V1316" t="inlineStr">
        <is>
          <t>2008-03-19</t>
        </is>
      </c>
      <c r="W1316" t="inlineStr">
        <is>
          <t>1995-04-26</t>
        </is>
      </c>
      <c r="X1316" t="inlineStr">
        <is>
          <t>1995-04-26</t>
        </is>
      </c>
      <c r="Y1316" t="n">
        <v>595</v>
      </c>
      <c r="Z1316" t="n">
        <v>531</v>
      </c>
      <c r="AA1316" t="n">
        <v>532</v>
      </c>
      <c r="AB1316" t="n">
        <v>5</v>
      </c>
      <c r="AC1316" t="n">
        <v>5</v>
      </c>
      <c r="AD1316" t="n">
        <v>38</v>
      </c>
      <c r="AE1316" t="n">
        <v>38</v>
      </c>
      <c r="AF1316" t="n">
        <v>9</v>
      </c>
      <c r="AG1316" t="n">
        <v>9</v>
      </c>
      <c r="AH1316" t="n">
        <v>9</v>
      </c>
      <c r="AI1316" t="n">
        <v>9</v>
      </c>
      <c r="AJ1316" t="n">
        <v>10</v>
      </c>
      <c r="AK1316" t="n">
        <v>10</v>
      </c>
      <c r="AL1316" t="n">
        <v>3</v>
      </c>
      <c r="AM1316" t="n">
        <v>3</v>
      </c>
      <c r="AN1316" t="n">
        <v>15</v>
      </c>
      <c r="AO1316" t="n">
        <v>15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HYPERLINK("https://creighton-primo.hosted.exlibrisgroup.com/primo-explore/search?tab=default_tab&amp;search_scope=EVERYTHING&amp;vid=01CRU&amp;lang=en_US&amp;offset=0&amp;query=any,contains,991004458299702656","Catalog Record")</f>
        <v/>
      </c>
      <c r="AT1316">
        <f>HYPERLINK("http://www.worldcat.org/oclc/3540502","WorldCat Record")</f>
        <v/>
      </c>
      <c r="AU1316" t="inlineStr">
        <is>
          <t>54203734:eng</t>
        </is>
      </c>
      <c r="AV1316" t="inlineStr">
        <is>
          <t>3540502</t>
        </is>
      </c>
      <c r="AW1316" t="inlineStr">
        <is>
          <t>991004458299702656</t>
        </is>
      </c>
      <c r="AX1316" t="inlineStr">
        <is>
          <t>991004458299702656</t>
        </is>
      </c>
      <c r="AY1316" t="inlineStr">
        <is>
          <t>2265818390002656</t>
        </is>
      </c>
      <c r="AZ1316" t="inlineStr">
        <is>
          <t>BOOK</t>
        </is>
      </c>
      <c r="BB1316" t="inlineStr">
        <is>
          <t>9780814777886</t>
        </is>
      </c>
      <c r="BC1316" t="inlineStr">
        <is>
          <t>32285002029659</t>
        </is>
      </c>
      <c r="BD1316" t="inlineStr">
        <is>
          <t>893807089</t>
        </is>
      </c>
    </row>
    <row r="1317">
      <c r="A1317" t="inlineStr">
        <is>
          <t>No</t>
        </is>
      </c>
      <c r="B1317" t="inlineStr">
        <is>
          <t>HV9069 .F45 1992</t>
        </is>
      </c>
      <c r="C1317" t="inlineStr">
        <is>
          <t>0                      HV 9069000F  45          1992</t>
        </is>
      </c>
      <c r="D1317" t="inlineStr">
        <is>
          <t>Group counseling with juvenile delinquents : the limit and lead approach / Matthew L. Ferrara.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Ferrara, Matthew L.</t>
        </is>
      </c>
      <c r="L1317" t="inlineStr">
        <is>
          <t>Newbury Park, CA : Sage Publications, 1992.</t>
        </is>
      </c>
      <c r="M1317" t="inlineStr">
        <is>
          <t>1992</t>
        </is>
      </c>
      <c r="O1317" t="inlineStr">
        <is>
          <t>eng</t>
        </is>
      </c>
      <c r="P1317" t="inlineStr">
        <is>
          <t>cau</t>
        </is>
      </c>
      <c r="Q1317" t="inlineStr">
        <is>
          <t>Sage human services guides ; v. 65</t>
        </is>
      </c>
      <c r="R1317" t="inlineStr">
        <is>
          <t xml:space="preserve">HV </t>
        </is>
      </c>
      <c r="S1317" t="n">
        <v>10</v>
      </c>
      <c r="T1317" t="n">
        <v>10</v>
      </c>
      <c r="U1317" t="inlineStr">
        <is>
          <t>2001-02-08</t>
        </is>
      </c>
      <c r="V1317" t="inlineStr">
        <is>
          <t>2001-02-08</t>
        </is>
      </c>
      <c r="W1317" t="inlineStr">
        <is>
          <t>1995-07-21</t>
        </is>
      </c>
      <c r="X1317" t="inlineStr">
        <is>
          <t>1995-07-21</t>
        </is>
      </c>
      <c r="Y1317" t="n">
        <v>411</v>
      </c>
      <c r="Z1317" t="n">
        <v>320</v>
      </c>
      <c r="AA1317" t="n">
        <v>340</v>
      </c>
      <c r="AB1317" t="n">
        <v>3</v>
      </c>
      <c r="AC1317" t="n">
        <v>3</v>
      </c>
      <c r="AD1317" t="n">
        <v>12</v>
      </c>
      <c r="AE1317" t="n">
        <v>12</v>
      </c>
      <c r="AF1317" t="n">
        <v>3</v>
      </c>
      <c r="AG1317" t="n">
        <v>3</v>
      </c>
      <c r="AH1317" t="n">
        <v>2</v>
      </c>
      <c r="AI1317" t="n">
        <v>2</v>
      </c>
      <c r="AJ1317" t="n">
        <v>7</v>
      </c>
      <c r="AK1317" t="n">
        <v>7</v>
      </c>
      <c r="AL1317" t="n">
        <v>2</v>
      </c>
      <c r="AM1317" t="n">
        <v>2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No</t>
        </is>
      </c>
      <c r="AS1317">
        <f>HYPERLINK("https://creighton-primo.hosted.exlibrisgroup.com/primo-explore/search?tab=default_tab&amp;search_scope=EVERYTHING&amp;vid=01CRU&amp;lang=en_US&amp;offset=0&amp;query=any,contains,991001842499702656","Catalog Record")</f>
        <v/>
      </c>
      <c r="AT1317">
        <f>HYPERLINK("http://www.worldcat.org/oclc/23143464","WorldCat Record")</f>
        <v/>
      </c>
      <c r="AU1317" t="inlineStr">
        <is>
          <t>324370778:eng</t>
        </is>
      </c>
      <c r="AV1317" t="inlineStr">
        <is>
          <t>23143464</t>
        </is>
      </c>
      <c r="AW1317" t="inlineStr">
        <is>
          <t>991001842499702656</t>
        </is>
      </c>
      <c r="AX1317" t="inlineStr">
        <is>
          <t>991001842499702656</t>
        </is>
      </c>
      <c r="AY1317" t="inlineStr">
        <is>
          <t>2265660090002656</t>
        </is>
      </c>
      <c r="AZ1317" t="inlineStr">
        <is>
          <t>BOOK</t>
        </is>
      </c>
      <c r="BB1317" t="inlineStr">
        <is>
          <t>9780803938854</t>
        </is>
      </c>
      <c r="BC1317" t="inlineStr">
        <is>
          <t>32285002075249</t>
        </is>
      </c>
      <c r="BD1317" t="inlineStr">
        <is>
          <t>893779132</t>
        </is>
      </c>
    </row>
    <row r="1318">
      <c r="A1318" t="inlineStr">
        <is>
          <t>No</t>
        </is>
      </c>
      <c r="B1318" t="inlineStr">
        <is>
          <t>HV9069 .G46</t>
        </is>
      </c>
      <c r="C1318" t="inlineStr">
        <is>
          <t>0                      HV 9069000G  46</t>
        </is>
      </c>
      <c r="D1318" t="inlineStr">
        <is>
          <t>Cultural factors in delinquency / edited by T. C. N. Gibbens and R. H. Ahrenfeldt.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K1318" t="inlineStr">
        <is>
          <t>Gibbens, T. C. N., editor.</t>
        </is>
      </c>
      <c r="L1318" t="inlineStr">
        <is>
          <t>[London] : Tavistock Publications ; [Philadelphia] : Lippincott, [1966]</t>
        </is>
      </c>
      <c r="M1318" t="inlineStr">
        <is>
          <t>1966</t>
        </is>
      </c>
      <c r="O1318" t="inlineStr">
        <is>
          <t>eng</t>
        </is>
      </c>
      <c r="P1318" t="inlineStr">
        <is>
          <t>enk</t>
        </is>
      </c>
      <c r="R1318" t="inlineStr">
        <is>
          <t xml:space="preserve">HV </t>
        </is>
      </c>
      <c r="S1318" t="n">
        <v>7</v>
      </c>
      <c r="T1318" t="n">
        <v>7</v>
      </c>
      <c r="U1318" t="inlineStr">
        <is>
          <t>2005-12-02</t>
        </is>
      </c>
      <c r="V1318" t="inlineStr">
        <is>
          <t>2005-12-02</t>
        </is>
      </c>
      <c r="W1318" t="inlineStr">
        <is>
          <t>1994-03-21</t>
        </is>
      </c>
      <c r="X1318" t="inlineStr">
        <is>
          <t>1994-03-21</t>
        </is>
      </c>
      <c r="Y1318" t="n">
        <v>584</v>
      </c>
      <c r="Z1318" t="n">
        <v>425</v>
      </c>
      <c r="AA1318" t="n">
        <v>457</v>
      </c>
      <c r="AB1318" t="n">
        <v>5</v>
      </c>
      <c r="AC1318" t="n">
        <v>5</v>
      </c>
      <c r="AD1318" t="n">
        <v>26</v>
      </c>
      <c r="AE1318" t="n">
        <v>26</v>
      </c>
      <c r="AF1318" t="n">
        <v>11</v>
      </c>
      <c r="AG1318" t="n">
        <v>11</v>
      </c>
      <c r="AH1318" t="n">
        <v>3</v>
      </c>
      <c r="AI1318" t="n">
        <v>3</v>
      </c>
      <c r="AJ1318" t="n">
        <v>9</v>
      </c>
      <c r="AK1318" t="n">
        <v>9</v>
      </c>
      <c r="AL1318" t="n">
        <v>4</v>
      </c>
      <c r="AM1318" t="n">
        <v>4</v>
      </c>
      <c r="AN1318" t="n">
        <v>5</v>
      </c>
      <c r="AO1318" t="n">
        <v>5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HYPERLINK("http://catalog.hathitrust.org/Record/001135656","HathiTrust Record")</f>
        <v/>
      </c>
      <c r="AS1318">
        <f>HYPERLINK("https://creighton-primo.hosted.exlibrisgroup.com/primo-explore/search?tab=default_tab&amp;search_scope=EVERYTHING&amp;vid=01CRU&amp;lang=en_US&amp;offset=0&amp;query=any,contains,991002639879702656","Catalog Record")</f>
        <v/>
      </c>
      <c r="AT1318">
        <f>HYPERLINK("http://www.worldcat.org/oclc/383758","WorldCat Record")</f>
        <v/>
      </c>
      <c r="AU1318" t="inlineStr">
        <is>
          <t>598595558:eng</t>
        </is>
      </c>
      <c r="AV1318" t="inlineStr">
        <is>
          <t>383758</t>
        </is>
      </c>
      <c r="AW1318" t="inlineStr">
        <is>
          <t>991002639879702656</t>
        </is>
      </c>
      <c r="AX1318" t="inlineStr">
        <is>
          <t>991002639879702656</t>
        </is>
      </c>
      <c r="AY1318" t="inlineStr">
        <is>
          <t>2260515400002656</t>
        </is>
      </c>
      <c r="AZ1318" t="inlineStr">
        <is>
          <t>BOOK</t>
        </is>
      </c>
      <c r="BC1318" t="inlineStr">
        <is>
          <t>32285001854545</t>
        </is>
      </c>
      <c r="BD1318" t="inlineStr">
        <is>
          <t>893616361</t>
        </is>
      </c>
    </row>
    <row r="1319">
      <c r="A1319" t="inlineStr">
        <is>
          <t>No</t>
        </is>
      </c>
      <c r="B1319" t="inlineStr">
        <is>
          <t>HV9069 .G55</t>
        </is>
      </c>
      <c r="C1319" t="inlineStr">
        <is>
          <t>0                      HV 9069000G  55</t>
        </is>
      </c>
      <c r="D1319" t="inlineStr">
        <is>
          <t>Unraveling juvenile delinquency / Sheldon and Eleanor Glueck.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Glueck, Sheldon, 1896-1980.</t>
        </is>
      </c>
      <c r="L1319" t="inlineStr">
        <is>
          <t>New York : Commonwealth Fund, 1950.</t>
        </is>
      </c>
      <c r="M1319" t="inlineStr">
        <is>
          <t>1950</t>
        </is>
      </c>
      <c r="O1319" t="inlineStr">
        <is>
          <t>eng</t>
        </is>
      </c>
      <c r="P1319" t="inlineStr">
        <is>
          <t xml:space="preserve">xx </t>
        </is>
      </c>
      <c r="Q1319" t="inlineStr">
        <is>
          <t>Harvard Law School studies in criminology</t>
        </is>
      </c>
      <c r="R1319" t="inlineStr">
        <is>
          <t xml:space="preserve">HV </t>
        </is>
      </c>
      <c r="S1319" t="n">
        <v>1</v>
      </c>
      <c r="T1319" t="n">
        <v>1</v>
      </c>
      <c r="U1319" t="inlineStr">
        <is>
          <t>2003-03-16</t>
        </is>
      </c>
      <c r="V1319" t="inlineStr">
        <is>
          <t>2003-03-16</t>
        </is>
      </c>
      <c r="W1319" t="inlineStr">
        <is>
          <t>1997-08-26</t>
        </is>
      </c>
      <c r="X1319" t="inlineStr">
        <is>
          <t>1997-08-26</t>
        </is>
      </c>
      <c r="Y1319" t="n">
        <v>881</v>
      </c>
      <c r="Z1319" t="n">
        <v>747</v>
      </c>
      <c r="AA1319" t="n">
        <v>795</v>
      </c>
      <c r="AB1319" t="n">
        <v>11</v>
      </c>
      <c r="AC1319" t="n">
        <v>11</v>
      </c>
      <c r="AD1319" t="n">
        <v>50</v>
      </c>
      <c r="AE1319" t="n">
        <v>55</v>
      </c>
      <c r="AF1319" t="n">
        <v>9</v>
      </c>
      <c r="AG1319" t="n">
        <v>12</v>
      </c>
      <c r="AH1319" t="n">
        <v>9</v>
      </c>
      <c r="AI1319" t="n">
        <v>9</v>
      </c>
      <c r="AJ1319" t="n">
        <v>17</v>
      </c>
      <c r="AK1319" t="n">
        <v>20</v>
      </c>
      <c r="AL1319" t="n">
        <v>8</v>
      </c>
      <c r="AM1319" t="n">
        <v>8</v>
      </c>
      <c r="AN1319" t="n">
        <v>16</v>
      </c>
      <c r="AO1319" t="n">
        <v>16</v>
      </c>
      <c r="AP1319" t="inlineStr">
        <is>
          <t>No</t>
        </is>
      </c>
      <c r="AQ1319" t="inlineStr">
        <is>
          <t>No</t>
        </is>
      </c>
      <c r="AS1319">
        <f>HYPERLINK("https://creighton-primo.hosted.exlibrisgroup.com/primo-explore/search?tab=default_tab&amp;search_scope=EVERYTHING&amp;vid=01CRU&amp;lang=en_US&amp;offset=0&amp;query=any,contains,991004260789702656","Catalog Record")</f>
        <v/>
      </c>
      <c r="AT1319">
        <f>HYPERLINK("http://www.worldcat.org/oclc/2843840","WorldCat Record")</f>
        <v/>
      </c>
      <c r="AU1319" t="inlineStr">
        <is>
          <t>132919100:eng</t>
        </is>
      </c>
      <c r="AV1319" t="inlineStr">
        <is>
          <t>2843840</t>
        </is>
      </c>
      <c r="AW1319" t="inlineStr">
        <is>
          <t>991004260789702656</t>
        </is>
      </c>
      <c r="AX1319" t="inlineStr">
        <is>
          <t>991004260789702656</t>
        </is>
      </c>
      <c r="AY1319" t="inlineStr">
        <is>
          <t>2264278790002656</t>
        </is>
      </c>
      <c r="AZ1319" t="inlineStr">
        <is>
          <t>BOOK</t>
        </is>
      </c>
      <c r="BC1319" t="inlineStr">
        <is>
          <t>32285003159489</t>
        </is>
      </c>
      <c r="BD1319" t="inlineStr">
        <is>
          <t>893894766</t>
        </is>
      </c>
    </row>
    <row r="1320">
      <c r="A1320" t="inlineStr">
        <is>
          <t>No</t>
        </is>
      </c>
      <c r="B1320" t="inlineStr">
        <is>
          <t>HV9069 .H23</t>
        </is>
      </c>
      <c r="C1320" t="inlineStr">
        <is>
          <t>0                      HV 9069000H  23</t>
        </is>
      </c>
      <c r="D1320" t="inlineStr">
        <is>
          <t>The juvenile offender and the law / by Paul H. Hahn, assisted by John P. O'Connor.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Yes</t>
        </is>
      </c>
      <c r="J1320" t="inlineStr">
        <is>
          <t>0</t>
        </is>
      </c>
      <c r="K1320" t="inlineStr">
        <is>
          <t>Hahn, Paul H.</t>
        </is>
      </c>
      <c r="L1320" t="inlineStr">
        <is>
          <t>Cincinnati : W. H. Anderson Co., [1971]</t>
        </is>
      </c>
      <c r="M1320" t="inlineStr">
        <is>
          <t>1971</t>
        </is>
      </c>
      <c r="O1320" t="inlineStr">
        <is>
          <t>eng</t>
        </is>
      </c>
      <c r="P1320" t="inlineStr">
        <is>
          <t>ohu</t>
        </is>
      </c>
      <c r="Q1320" t="inlineStr">
        <is>
          <t>Police text series ; v. 5</t>
        </is>
      </c>
      <c r="R1320" t="inlineStr">
        <is>
          <t xml:space="preserve">HV </t>
        </is>
      </c>
      <c r="S1320" t="n">
        <v>12</v>
      </c>
      <c r="T1320" t="n">
        <v>12</v>
      </c>
      <c r="U1320" t="inlineStr">
        <is>
          <t>2008-03-19</t>
        </is>
      </c>
      <c r="V1320" t="inlineStr">
        <is>
          <t>2008-03-19</t>
        </is>
      </c>
      <c r="W1320" t="inlineStr">
        <is>
          <t>1992-12-10</t>
        </is>
      </c>
      <c r="X1320" t="inlineStr">
        <is>
          <t>1992-12-10</t>
        </is>
      </c>
      <c r="Y1320" t="n">
        <v>274</v>
      </c>
      <c r="Z1320" t="n">
        <v>255</v>
      </c>
      <c r="AA1320" t="n">
        <v>532</v>
      </c>
      <c r="AB1320" t="n">
        <v>4</v>
      </c>
      <c r="AC1320" t="n">
        <v>8</v>
      </c>
      <c r="AD1320" t="n">
        <v>18</v>
      </c>
      <c r="AE1320" t="n">
        <v>38</v>
      </c>
      <c r="AF1320" t="n">
        <v>2</v>
      </c>
      <c r="AG1320" t="n">
        <v>6</v>
      </c>
      <c r="AH1320" t="n">
        <v>4</v>
      </c>
      <c r="AI1320" t="n">
        <v>5</v>
      </c>
      <c r="AJ1320" t="n">
        <v>7</v>
      </c>
      <c r="AK1320" t="n">
        <v>13</v>
      </c>
      <c r="AL1320" t="n">
        <v>2</v>
      </c>
      <c r="AM1320" t="n">
        <v>5</v>
      </c>
      <c r="AN1320" t="n">
        <v>7</v>
      </c>
      <c r="AO1320" t="n">
        <v>16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HYPERLINK("https://creighton-primo.hosted.exlibrisgroup.com/primo-explore/search?tab=default_tab&amp;search_scope=EVERYTHING&amp;vid=01CRU&amp;lang=en_US&amp;offset=0&amp;query=any,contains,991001265789702656","Catalog Record")</f>
        <v/>
      </c>
      <c r="AT1320">
        <f>HYPERLINK("http://www.worldcat.org/oclc/209797","WorldCat Record")</f>
        <v/>
      </c>
      <c r="AU1320" t="inlineStr">
        <is>
          <t>1281538:eng</t>
        </is>
      </c>
      <c r="AV1320" t="inlineStr">
        <is>
          <t>209797</t>
        </is>
      </c>
      <c r="AW1320" t="inlineStr">
        <is>
          <t>991001265789702656</t>
        </is>
      </c>
      <c r="AX1320" t="inlineStr">
        <is>
          <t>991001265789702656</t>
        </is>
      </c>
      <c r="AY1320" t="inlineStr">
        <is>
          <t>2270872600002656</t>
        </is>
      </c>
      <c r="AZ1320" t="inlineStr">
        <is>
          <t>BOOK</t>
        </is>
      </c>
      <c r="BC1320" t="inlineStr">
        <is>
          <t>32285001440220</t>
        </is>
      </c>
      <c r="BD1320" t="inlineStr">
        <is>
          <t>893866100</t>
        </is>
      </c>
    </row>
    <row r="1321">
      <c r="A1321" t="inlineStr">
        <is>
          <t>No</t>
        </is>
      </c>
      <c r="B1321" t="inlineStr">
        <is>
          <t>HV9069 .H34</t>
        </is>
      </c>
      <c r="C1321" t="inlineStr">
        <is>
          <t>0                      HV 9069000H  34</t>
        </is>
      </c>
      <c r="D1321" t="inlineStr">
        <is>
          <t>Analyzing and predicting juvenile delinquency with the MMPI / ed. by Starke R. Hathaway [and] Elio D. Monachesi.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Hathaway, Starke R. (Starke Rosecrans), 1903-1984.</t>
        </is>
      </c>
      <c r="L1321" t="inlineStr">
        <is>
          <t>Minneapolis : Univ. of Minnesota Press, [1953]</t>
        </is>
      </c>
      <c r="M1321" t="inlineStr">
        <is>
          <t>1953</t>
        </is>
      </c>
      <c r="O1321" t="inlineStr">
        <is>
          <t>eng</t>
        </is>
      </c>
      <c r="P1321" t="inlineStr">
        <is>
          <t xml:space="preserve">xx </t>
        </is>
      </c>
      <c r="R1321" t="inlineStr">
        <is>
          <t xml:space="preserve">HV </t>
        </is>
      </c>
      <c r="S1321" t="n">
        <v>3</v>
      </c>
      <c r="T1321" t="n">
        <v>3</v>
      </c>
      <c r="U1321" t="inlineStr">
        <is>
          <t>2001-11-13</t>
        </is>
      </c>
      <c r="V1321" t="inlineStr">
        <is>
          <t>2001-11-13</t>
        </is>
      </c>
      <c r="W1321" t="inlineStr">
        <is>
          <t>1994-03-29</t>
        </is>
      </c>
      <c r="X1321" t="inlineStr">
        <is>
          <t>1994-03-29</t>
        </is>
      </c>
      <c r="Y1321" t="n">
        <v>281</v>
      </c>
      <c r="Z1321" t="n">
        <v>248</v>
      </c>
      <c r="AA1321" t="n">
        <v>251</v>
      </c>
      <c r="AB1321" t="n">
        <v>2</v>
      </c>
      <c r="AC1321" t="n">
        <v>2</v>
      </c>
      <c r="AD1321" t="n">
        <v>11</v>
      </c>
      <c r="AE1321" t="n">
        <v>11</v>
      </c>
      <c r="AF1321" t="n">
        <v>1</v>
      </c>
      <c r="AG1321" t="n">
        <v>1</v>
      </c>
      <c r="AH1321" t="n">
        <v>3</v>
      </c>
      <c r="AI1321" t="n">
        <v>3</v>
      </c>
      <c r="AJ1321" t="n">
        <v>7</v>
      </c>
      <c r="AK1321" t="n">
        <v>7</v>
      </c>
      <c r="AL1321" t="n">
        <v>1</v>
      </c>
      <c r="AM1321" t="n">
        <v>1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R1321">
        <f>HYPERLINK("http://catalog.hathitrust.org/Record/001135664","HathiTrust Record")</f>
        <v/>
      </c>
      <c r="AS1321">
        <f>HYPERLINK("https://creighton-primo.hosted.exlibrisgroup.com/primo-explore/search?tab=default_tab&amp;search_scope=EVERYTHING&amp;vid=01CRU&amp;lang=en_US&amp;offset=0&amp;query=any,contains,991000951459702656","Catalog Record")</f>
        <v/>
      </c>
      <c r="AT1321">
        <f>HYPERLINK("http://www.worldcat.org/oclc/14679487","WorldCat Record")</f>
        <v/>
      </c>
      <c r="AU1321" t="inlineStr">
        <is>
          <t>348448545:eng</t>
        </is>
      </c>
      <c r="AV1321" t="inlineStr">
        <is>
          <t>14679487</t>
        </is>
      </c>
      <c r="AW1321" t="inlineStr">
        <is>
          <t>991000951459702656</t>
        </is>
      </c>
      <c r="AX1321" t="inlineStr">
        <is>
          <t>991000951459702656</t>
        </is>
      </c>
      <c r="AY1321" t="inlineStr">
        <is>
          <t>2268729430002656</t>
        </is>
      </c>
      <c r="AZ1321" t="inlineStr">
        <is>
          <t>BOOK</t>
        </is>
      </c>
      <c r="BC1321" t="inlineStr">
        <is>
          <t>32285001872612</t>
        </is>
      </c>
      <c r="BD1321" t="inlineStr">
        <is>
          <t>893897363</t>
        </is>
      </c>
    </row>
    <row r="1322">
      <c r="A1322" t="inlineStr">
        <is>
          <t>No</t>
        </is>
      </c>
      <c r="B1322" t="inlineStr">
        <is>
          <t>HV9069 .J795 2004</t>
        </is>
      </c>
      <c r="C1322" t="inlineStr">
        <is>
          <t>0                      HV 9069000J  795         2004</t>
        </is>
      </c>
      <c r="D1322" t="inlineStr">
        <is>
          <t>Juvenile delinquency : understanding the origins of individual differences / Vernon L. Quinsey ... [et al.].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L1322" t="inlineStr">
        <is>
          <t>Washington, DC : American Psychological Association, c2004.</t>
        </is>
      </c>
      <c r="M1322" t="inlineStr">
        <is>
          <t>2004</t>
        </is>
      </c>
      <c r="N1322" t="inlineStr">
        <is>
          <t>1st ed.</t>
        </is>
      </c>
      <c r="O1322" t="inlineStr">
        <is>
          <t>eng</t>
        </is>
      </c>
      <c r="P1322" t="inlineStr">
        <is>
          <t>dcu</t>
        </is>
      </c>
      <c r="R1322" t="inlineStr">
        <is>
          <t xml:space="preserve">HV </t>
        </is>
      </c>
      <c r="S1322" t="n">
        <v>4</v>
      </c>
      <c r="T1322" t="n">
        <v>4</v>
      </c>
      <c r="U1322" t="inlineStr">
        <is>
          <t>2007-02-28</t>
        </is>
      </c>
      <c r="V1322" t="inlineStr">
        <is>
          <t>2007-02-28</t>
        </is>
      </c>
      <c r="W1322" t="inlineStr">
        <is>
          <t>2004-09-15</t>
        </is>
      </c>
      <c r="X1322" t="inlineStr">
        <is>
          <t>2004-09-15</t>
        </is>
      </c>
      <c r="Y1322" t="n">
        <v>503</v>
      </c>
      <c r="Z1322" t="n">
        <v>425</v>
      </c>
      <c r="AA1322" t="n">
        <v>492</v>
      </c>
      <c r="AB1322" t="n">
        <v>4</v>
      </c>
      <c r="AC1322" t="n">
        <v>5</v>
      </c>
      <c r="AD1322" t="n">
        <v>20</v>
      </c>
      <c r="AE1322" t="n">
        <v>26</v>
      </c>
      <c r="AF1322" t="n">
        <v>7</v>
      </c>
      <c r="AG1322" t="n">
        <v>9</v>
      </c>
      <c r="AH1322" t="n">
        <v>4</v>
      </c>
      <c r="AI1322" t="n">
        <v>4</v>
      </c>
      <c r="AJ1322" t="n">
        <v>10</v>
      </c>
      <c r="AK1322" t="n">
        <v>13</v>
      </c>
      <c r="AL1322" t="n">
        <v>3</v>
      </c>
      <c r="AM1322" t="n">
        <v>4</v>
      </c>
      <c r="AN1322" t="n">
        <v>1</v>
      </c>
      <c r="AO1322" t="n">
        <v>1</v>
      </c>
      <c r="AP1322" t="inlineStr">
        <is>
          <t>No</t>
        </is>
      </c>
      <c r="AQ1322" t="inlineStr">
        <is>
          <t>No</t>
        </is>
      </c>
      <c r="AS1322">
        <f>HYPERLINK("https://creighton-primo.hosted.exlibrisgroup.com/primo-explore/search?tab=default_tab&amp;search_scope=EVERYTHING&amp;vid=01CRU&amp;lang=en_US&amp;offset=0&amp;query=any,contains,991004352649702656","Catalog Record")</f>
        <v/>
      </c>
      <c r="AT1322">
        <f>HYPERLINK("http://www.worldcat.org/oclc/51923594","WorldCat Record")</f>
        <v/>
      </c>
      <c r="AU1322" t="inlineStr">
        <is>
          <t>1078140450:eng</t>
        </is>
      </c>
      <c r="AV1322" t="inlineStr">
        <is>
          <t>51923594</t>
        </is>
      </c>
      <c r="AW1322" t="inlineStr">
        <is>
          <t>991004352649702656</t>
        </is>
      </c>
      <c r="AX1322" t="inlineStr">
        <is>
          <t>991004352649702656</t>
        </is>
      </c>
      <c r="AY1322" t="inlineStr">
        <is>
          <t>2259994880002656</t>
        </is>
      </c>
      <c r="AZ1322" t="inlineStr">
        <is>
          <t>BOOK</t>
        </is>
      </c>
      <c r="BB1322" t="inlineStr">
        <is>
          <t>9781591470489</t>
        </is>
      </c>
      <c r="BC1322" t="inlineStr">
        <is>
          <t>32285004987540</t>
        </is>
      </c>
      <c r="BD1322" t="inlineStr">
        <is>
          <t>893229254</t>
        </is>
      </c>
    </row>
    <row r="1323">
      <c r="A1323" t="inlineStr">
        <is>
          <t>No</t>
        </is>
      </c>
      <c r="B1323" t="inlineStr">
        <is>
          <t>HV9069 .M46 2005</t>
        </is>
      </c>
      <c r="C1323" t="inlineStr">
        <is>
          <t>0                      HV 9069000M  46          2005</t>
        </is>
      </c>
      <c r="D1323" t="inlineStr">
        <is>
          <t>Mental health screening and assessment in juvenile justice / edited by Thomas Grisso, Gina Vincent, Daniel Seagrave.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L1323" t="inlineStr">
        <is>
          <t>New York : Guilford Press, c2005.</t>
        </is>
      </c>
      <c r="M1323" t="inlineStr">
        <is>
          <t>2005</t>
        </is>
      </c>
      <c r="O1323" t="inlineStr">
        <is>
          <t>eng</t>
        </is>
      </c>
      <c r="P1323" t="inlineStr">
        <is>
          <t>nyu</t>
        </is>
      </c>
      <c r="R1323" t="inlineStr">
        <is>
          <t xml:space="preserve">HV </t>
        </is>
      </c>
      <c r="S1323" t="n">
        <v>7</v>
      </c>
      <c r="T1323" t="n">
        <v>7</v>
      </c>
      <c r="U1323" t="inlineStr">
        <is>
          <t>2008-12-05</t>
        </is>
      </c>
      <c r="V1323" t="inlineStr">
        <is>
          <t>2008-12-05</t>
        </is>
      </c>
      <c r="W1323" t="inlineStr">
        <is>
          <t>2006-03-06</t>
        </is>
      </c>
      <c r="X1323" t="inlineStr">
        <is>
          <t>2006-03-06</t>
        </is>
      </c>
      <c r="Y1323" t="n">
        <v>461</v>
      </c>
      <c r="Z1323" t="n">
        <v>398</v>
      </c>
      <c r="AA1323" t="n">
        <v>922</v>
      </c>
      <c r="AB1323" t="n">
        <v>2</v>
      </c>
      <c r="AC1323" t="n">
        <v>17</v>
      </c>
      <c r="AD1323" t="n">
        <v>19</v>
      </c>
      <c r="AE1323" t="n">
        <v>43</v>
      </c>
      <c r="AF1323" t="n">
        <v>10</v>
      </c>
      <c r="AG1323" t="n">
        <v>18</v>
      </c>
      <c r="AH1323" t="n">
        <v>4</v>
      </c>
      <c r="AI1323" t="n">
        <v>8</v>
      </c>
      <c r="AJ1323" t="n">
        <v>11</v>
      </c>
      <c r="AK1323" t="n">
        <v>17</v>
      </c>
      <c r="AL1323" t="n">
        <v>1</v>
      </c>
      <c r="AM1323" t="n">
        <v>9</v>
      </c>
      <c r="AN1323" t="n">
        <v>1</v>
      </c>
      <c r="AO1323" t="n">
        <v>2</v>
      </c>
      <c r="AP1323" t="inlineStr">
        <is>
          <t>No</t>
        </is>
      </c>
      <c r="AQ1323" t="inlineStr">
        <is>
          <t>No</t>
        </is>
      </c>
      <c r="AS1323">
        <f>HYPERLINK("https://creighton-primo.hosted.exlibrisgroup.com/primo-explore/search?tab=default_tab&amp;search_scope=EVERYTHING&amp;vid=01CRU&amp;lang=en_US&amp;offset=0&amp;query=any,contains,991004759639702656","Catalog Record")</f>
        <v/>
      </c>
      <c r="AT1323">
        <f>HYPERLINK("http://www.worldcat.org/oclc/56793793","WorldCat Record")</f>
        <v/>
      </c>
      <c r="AU1323" t="inlineStr">
        <is>
          <t>364197039:eng</t>
        </is>
      </c>
      <c r="AV1323" t="inlineStr">
        <is>
          <t>56793793</t>
        </is>
      </c>
      <c r="AW1323" t="inlineStr">
        <is>
          <t>991004759639702656</t>
        </is>
      </c>
      <c r="AX1323" t="inlineStr">
        <is>
          <t>991004759639702656</t>
        </is>
      </c>
      <c r="AY1323" t="inlineStr">
        <is>
          <t>2257269340002656</t>
        </is>
      </c>
      <c r="AZ1323" t="inlineStr">
        <is>
          <t>BOOK</t>
        </is>
      </c>
      <c r="BB1323" t="inlineStr">
        <is>
          <t>9781593851323</t>
        </is>
      </c>
      <c r="BC1323" t="inlineStr">
        <is>
          <t>32285005169163</t>
        </is>
      </c>
      <c r="BD1323" t="inlineStr">
        <is>
          <t>893801313</t>
        </is>
      </c>
    </row>
    <row r="1324">
      <c r="A1324" t="inlineStr">
        <is>
          <t>No</t>
        </is>
      </c>
      <c r="B1324" t="inlineStr">
        <is>
          <t>HV9069 .S52 1969</t>
        </is>
      </c>
      <c r="C1324" t="inlineStr">
        <is>
          <t>0                      HV 9069000S  52          1969</t>
        </is>
      </c>
      <c r="D1324" t="inlineStr">
        <is>
          <t>Juvenile delinquency and urban areas; a study of rates of delinquency in relation to differential characteristics of local communities in American cities, by Clifford R. Shaw and Henry D. McKay. With a new introd. by James F. Short, Jr., and new chapters updating delinquency data for Chicago and suburbs by Henry D. McKay.</t>
        </is>
      </c>
      <c r="F1324" t="inlineStr">
        <is>
          <t>No</t>
        </is>
      </c>
      <c r="G1324" t="inlineStr">
        <is>
          <t>1</t>
        </is>
      </c>
      <c r="H1324" t="inlineStr">
        <is>
          <t>Yes</t>
        </is>
      </c>
      <c r="I1324" t="inlineStr">
        <is>
          <t>No</t>
        </is>
      </c>
      <c r="J1324" t="inlineStr">
        <is>
          <t>0</t>
        </is>
      </c>
      <c r="K1324" t="inlineStr">
        <is>
          <t>Shaw, Clifford R. (Clifford Robe), 1895-1957.</t>
        </is>
      </c>
      <c r="L1324" t="inlineStr">
        <is>
          <t>Chicago, University of Chicago Press [1969]</t>
        </is>
      </c>
      <c r="M1324" t="inlineStr">
        <is>
          <t>1969</t>
        </is>
      </c>
      <c r="N1324" t="inlineStr">
        <is>
          <t>Rev. ed.</t>
        </is>
      </c>
      <c r="O1324" t="inlineStr">
        <is>
          <t>eng</t>
        </is>
      </c>
      <c r="P1324" t="inlineStr">
        <is>
          <t>ilu</t>
        </is>
      </c>
      <c r="R1324" t="inlineStr">
        <is>
          <t xml:space="preserve">HV </t>
        </is>
      </c>
      <c r="S1324" t="n">
        <v>3</v>
      </c>
      <c r="T1324" t="n">
        <v>4</v>
      </c>
      <c r="U1324" t="inlineStr">
        <is>
          <t>2008-01-31</t>
        </is>
      </c>
      <c r="V1324" t="inlineStr">
        <is>
          <t>2008-01-31</t>
        </is>
      </c>
      <c r="W1324" t="inlineStr">
        <is>
          <t>1997-08-26</t>
        </is>
      </c>
      <c r="X1324" t="inlineStr">
        <is>
          <t>1997-08-26</t>
        </is>
      </c>
      <c r="Y1324" t="n">
        <v>819</v>
      </c>
      <c r="Z1324" t="n">
        <v>675</v>
      </c>
      <c r="AA1324" t="n">
        <v>732</v>
      </c>
      <c r="AB1324" t="n">
        <v>9</v>
      </c>
      <c r="AC1324" t="n">
        <v>9</v>
      </c>
      <c r="AD1324" t="n">
        <v>44</v>
      </c>
      <c r="AE1324" t="n">
        <v>46</v>
      </c>
      <c r="AF1324" t="n">
        <v>14</v>
      </c>
      <c r="AG1324" t="n">
        <v>15</v>
      </c>
      <c r="AH1324" t="n">
        <v>9</v>
      </c>
      <c r="AI1324" t="n">
        <v>9</v>
      </c>
      <c r="AJ1324" t="n">
        <v>17</v>
      </c>
      <c r="AK1324" t="n">
        <v>18</v>
      </c>
      <c r="AL1324" t="n">
        <v>6</v>
      </c>
      <c r="AM1324" t="n">
        <v>6</v>
      </c>
      <c r="AN1324" t="n">
        <v>8</v>
      </c>
      <c r="AO1324" t="n">
        <v>8</v>
      </c>
      <c r="AP1324" t="inlineStr">
        <is>
          <t>No</t>
        </is>
      </c>
      <c r="AQ1324" t="inlineStr">
        <is>
          <t>No</t>
        </is>
      </c>
      <c r="AS1324">
        <f>HYPERLINK("https://creighton-primo.hosted.exlibrisgroup.com/primo-explore/search?tab=default_tab&amp;search_scope=EVERYTHING&amp;vid=01CRU&amp;lang=en_US&amp;offset=0&amp;query=any,contains,991001617889702656","Catalog Record")</f>
        <v/>
      </c>
      <c r="AT1324">
        <f>HYPERLINK("http://www.worldcat.org/oclc/22948","WorldCat Record")</f>
        <v/>
      </c>
      <c r="AU1324" t="inlineStr">
        <is>
          <t>1089561009:eng</t>
        </is>
      </c>
      <c r="AV1324" t="inlineStr">
        <is>
          <t>22948</t>
        </is>
      </c>
      <c r="AW1324" t="inlineStr">
        <is>
          <t>991001617889702656</t>
        </is>
      </c>
      <c r="AX1324" t="inlineStr">
        <is>
          <t>991001617889702656</t>
        </is>
      </c>
      <c r="AY1324" t="inlineStr">
        <is>
          <t>2268229460002656</t>
        </is>
      </c>
      <c r="AZ1324" t="inlineStr">
        <is>
          <t>BOOK</t>
        </is>
      </c>
      <c r="BC1324" t="inlineStr">
        <is>
          <t>32285003159638</t>
        </is>
      </c>
      <c r="BD1324" t="inlineStr">
        <is>
          <t>893322083</t>
        </is>
      </c>
    </row>
    <row r="1325">
      <c r="A1325" t="inlineStr">
        <is>
          <t>No</t>
        </is>
      </c>
      <c r="B1325" t="inlineStr">
        <is>
          <t>HV9076.5 .C47 1986</t>
        </is>
      </c>
      <c r="C1325" t="inlineStr">
        <is>
          <t>0                      HV 9076500C  47          1986</t>
        </is>
      </c>
      <c r="D1325" t="inlineStr">
        <is>
          <t>Children in adult prisons : an international perspective / edited by Katarina Tomaševski.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L1325" t="inlineStr">
        <is>
          <t>New York : St. Martin's Press, 1986.</t>
        </is>
      </c>
      <c r="M1325" t="inlineStr">
        <is>
          <t>1986</t>
        </is>
      </c>
      <c r="O1325" t="inlineStr">
        <is>
          <t>eng</t>
        </is>
      </c>
      <c r="P1325" t="inlineStr">
        <is>
          <t>nyu</t>
        </is>
      </c>
      <c r="R1325" t="inlineStr">
        <is>
          <t xml:space="preserve">HV </t>
        </is>
      </c>
      <c r="S1325" t="n">
        <v>14</v>
      </c>
      <c r="T1325" t="n">
        <v>14</v>
      </c>
      <c r="U1325" t="inlineStr">
        <is>
          <t>2008-03-19</t>
        </is>
      </c>
      <c r="V1325" t="inlineStr">
        <is>
          <t>2008-03-19</t>
        </is>
      </c>
      <c r="W1325" t="inlineStr">
        <is>
          <t>1992-03-26</t>
        </is>
      </c>
      <c r="X1325" t="inlineStr">
        <is>
          <t>1992-03-26</t>
        </is>
      </c>
      <c r="Y1325" t="n">
        <v>322</v>
      </c>
      <c r="Z1325" t="n">
        <v>308</v>
      </c>
      <c r="AA1325" t="n">
        <v>370</v>
      </c>
      <c r="AB1325" t="n">
        <v>3</v>
      </c>
      <c r="AC1325" t="n">
        <v>3</v>
      </c>
      <c r="AD1325" t="n">
        <v>16</v>
      </c>
      <c r="AE1325" t="n">
        <v>16</v>
      </c>
      <c r="AF1325" t="n">
        <v>5</v>
      </c>
      <c r="AG1325" t="n">
        <v>5</v>
      </c>
      <c r="AH1325" t="n">
        <v>5</v>
      </c>
      <c r="AI1325" t="n">
        <v>5</v>
      </c>
      <c r="AJ1325" t="n">
        <v>8</v>
      </c>
      <c r="AK1325" t="n">
        <v>8</v>
      </c>
      <c r="AL1325" t="n">
        <v>2</v>
      </c>
      <c r="AM1325" t="n">
        <v>2</v>
      </c>
      <c r="AN1325" t="n">
        <v>1</v>
      </c>
      <c r="AO1325" t="n">
        <v>1</v>
      </c>
      <c r="AP1325" t="inlineStr">
        <is>
          <t>No</t>
        </is>
      </c>
      <c r="AQ1325" t="inlineStr">
        <is>
          <t>No</t>
        </is>
      </c>
      <c r="AS1325">
        <f>HYPERLINK("https://creighton-primo.hosted.exlibrisgroup.com/primo-explore/search?tab=default_tab&amp;search_scope=EVERYTHING&amp;vid=01CRU&amp;lang=en_US&amp;offset=0&amp;query=any,contains,991000720869702656","Catalog Record")</f>
        <v/>
      </c>
      <c r="AT1325">
        <f>HYPERLINK("http://www.worldcat.org/oclc/12665676","WorldCat Record")</f>
        <v/>
      </c>
      <c r="AU1325" t="inlineStr">
        <is>
          <t>366871965:eng</t>
        </is>
      </c>
      <c r="AV1325" t="inlineStr">
        <is>
          <t>12665676</t>
        </is>
      </c>
      <c r="AW1325" t="inlineStr">
        <is>
          <t>991000720869702656</t>
        </is>
      </c>
      <c r="AX1325" t="inlineStr">
        <is>
          <t>991000720869702656</t>
        </is>
      </c>
      <c r="AY1325" t="inlineStr">
        <is>
          <t>2264310540002656</t>
        </is>
      </c>
      <c r="AZ1325" t="inlineStr">
        <is>
          <t>BOOK</t>
        </is>
      </c>
      <c r="BB1325" t="inlineStr">
        <is>
          <t>9780312132378</t>
        </is>
      </c>
      <c r="BC1325" t="inlineStr">
        <is>
          <t>32285001004893</t>
        </is>
      </c>
      <c r="BD1325" t="inlineStr">
        <is>
          <t>893708644</t>
        </is>
      </c>
    </row>
    <row r="1326">
      <c r="A1326" t="inlineStr">
        <is>
          <t>No</t>
        </is>
      </c>
      <c r="B1326" t="inlineStr">
        <is>
          <t>HV9076.5 .H35</t>
        </is>
      </c>
      <c r="C1326" t="inlineStr">
        <is>
          <t>0                      HV 9076500H  35</t>
        </is>
      </c>
      <c r="D1326" t="inlineStr">
        <is>
          <t>Television and delinquency / by J. D. Halloran, R. L. Brown &amp; D. C. Chaney.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Halloran, James D. (James Dermot)</t>
        </is>
      </c>
      <c r="L1326" t="inlineStr">
        <is>
          <t>Leicester : Leicester U.P., 1970.</t>
        </is>
      </c>
      <c r="M1326" t="inlineStr">
        <is>
          <t>1970</t>
        </is>
      </c>
      <c r="O1326" t="inlineStr">
        <is>
          <t>eng</t>
        </is>
      </c>
      <c r="P1326" t="inlineStr">
        <is>
          <t>enk</t>
        </is>
      </c>
      <c r="Q1326" t="inlineStr">
        <is>
          <t>Television Research Committee. Working paper no. 3</t>
        </is>
      </c>
      <c r="R1326" t="inlineStr">
        <is>
          <t xml:space="preserve">HV </t>
        </is>
      </c>
      <c r="S1326" t="n">
        <v>6</v>
      </c>
      <c r="T1326" t="n">
        <v>6</v>
      </c>
      <c r="U1326" t="inlineStr">
        <is>
          <t>2000-10-24</t>
        </is>
      </c>
      <c r="V1326" t="inlineStr">
        <is>
          <t>2000-10-24</t>
        </is>
      </c>
      <c r="W1326" t="inlineStr">
        <is>
          <t>1997-08-26</t>
        </is>
      </c>
      <c r="X1326" t="inlineStr">
        <is>
          <t>1997-08-26</t>
        </is>
      </c>
      <c r="Y1326" t="n">
        <v>493</v>
      </c>
      <c r="Z1326" t="n">
        <v>317</v>
      </c>
      <c r="AA1326" t="n">
        <v>328</v>
      </c>
      <c r="AB1326" t="n">
        <v>3</v>
      </c>
      <c r="AC1326" t="n">
        <v>3</v>
      </c>
      <c r="AD1326" t="n">
        <v>19</v>
      </c>
      <c r="AE1326" t="n">
        <v>19</v>
      </c>
      <c r="AF1326" t="n">
        <v>6</v>
      </c>
      <c r="AG1326" t="n">
        <v>6</v>
      </c>
      <c r="AH1326" t="n">
        <v>3</v>
      </c>
      <c r="AI1326" t="n">
        <v>3</v>
      </c>
      <c r="AJ1326" t="n">
        <v>9</v>
      </c>
      <c r="AK1326" t="n">
        <v>9</v>
      </c>
      <c r="AL1326" t="n">
        <v>1</v>
      </c>
      <c r="AM1326" t="n">
        <v>1</v>
      </c>
      <c r="AN1326" t="n">
        <v>5</v>
      </c>
      <c r="AO1326" t="n">
        <v>5</v>
      </c>
      <c r="AP1326" t="inlineStr">
        <is>
          <t>No</t>
        </is>
      </c>
      <c r="AQ1326" t="inlineStr">
        <is>
          <t>Yes</t>
        </is>
      </c>
      <c r="AR1326">
        <f>HYPERLINK("http://catalog.hathitrust.org/Record/001135727","HathiTrust Record")</f>
        <v/>
      </c>
      <c r="AS1326">
        <f>HYPERLINK("https://creighton-primo.hosted.exlibrisgroup.com/primo-explore/search?tab=default_tab&amp;search_scope=EVERYTHING&amp;vid=01CRU&amp;lang=en_US&amp;offset=0&amp;query=any,contains,991000614359702656","Catalog Record")</f>
        <v/>
      </c>
      <c r="AT1326">
        <f>HYPERLINK("http://www.worldcat.org/oclc/101301","WorldCat Record")</f>
        <v/>
      </c>
      <c r="AU1326" t="inlineStr">
        <is>
          <t>1170993:eng</t>
        </is>
      </c>
      <c r="AV1326" t="inlineStr">
        <is>
          <t>101301</t>
        </is>
      </c>
      <c r="AW1326" t="inlineStr">
        <is>
          <t>991000614359702656</t>
        </is>
      </c>
      <c r="AX1326" t="inlineStr">
        <is>
          <t>991000614359702656</t>
        </is>
      </c>
      <c r="AY1326" t="inlineStr">
        <is>
          <t>2261335330002656</t>
        </is>
      </c>
      <c r="AZ1326" t="inlineStr">
        <is>
          <t>BOOK</t>
        </is>
      </c>
      <c r="BB1326" t="inlineStr">
        <is>
          <t>9780718510886</t>
        </is>
      </c>
      <c r="BC1326" t="inlineStr">
        <is>
          <t>32285003159679</t>
        </is>
      </c>
      <c r="BD1326" t="inlineStr">
        <is>
          <t>893595717</t>
        </is>
      </c>
    </row>
    <row r="1327">
      <c r="A1327" t="inlineStr">
        <is>
          <t>No</t>
        </is>
      </c>
      <c r="B1327" t="inlineStr">
        <is>
          <t>HV9091 .F87 1979</t>
        </is>
      </c>
      <c r="C1327" t="inlineStr">
        <is>
          <t>0                      HV 9091000F  87          1979</t>
        </is>
      </c>
      <c r="D1327" t="inlineStr">
        <is>
          <t>The Future of childhood and juvenile justice / edited by LaMar T. Empey ; contributors, LaMar T. Empey ... [et al.].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L1327" t="inlineStr">
        <is>
          <t>Charlottesville : University Press of Virginia, 1979.</t>
        </is>
      </c>
      <c r="M1327" t="inlineStr">
        <is>
          <t>1979</t>
        </is>
      </c>
      <c r="O1327" t="inlineStr">
        <is>
          <t>eng</t>
        </is>
      </c>
      <c r="P1327" t="inlineStr">
        <is>
          <t>vau</t>
        </is>
      </c>
      <c r="R1327" t="inlineStr">
        <is>
          <t xml:space="preserve">HV </t>
        </is>
      </c>
      <c r="S1327" t="n">
        <v>3</v>
      </c>
      <c r="T1327" t="n">
        <v>3</v>
      </c>
      <c r="U1327" t="inlineStr">
        <is>
          <t>2003-03-16</t>
        </is>
      </c>
      <c r="V1327" t="inlineStr">
        <is>
          <t>2003-03-16</t>
        </is>
      </c>
      <c r="W1327" t="inlineStr">
        <is>
          <t>1990-03-20</t>
        </is>
      </c>
      <c r="X1327" t="inlineStr">
        <is>
          <t>1990-03-20</t>
        </is>
      </c>
      <c r="Y1327" t="n">
        <v>87</v>
      </c>
      <c r="Z1327" t="n">
        <v>74</v>
      </c>
      <c r="AA1327" t="n">
        <v>370</v>
      </c>
      <c r="AB1327" t="n">
        <v>2</v>
      </c>
      <c r="AC1327" t="n">
        <v>5</v>
      </c>
      <c r="AD1327" t="n">
        <v>2</v>
      </c>
      <c r="AE1327" t="n">
        <v>27</v>
      </c>
      <c r="AF1327" t="n">
        <v>0</v>
      </c>
      <c r="AG1327" t="n">
        <v>3</v>
      </c>
      <c r="AH1327" t="n">
        <v>0</v>
      </c>
      <c r="AI1327" t="n">
        <v>5</v>
      </c>
      <c r="AJ1327" t="n">
        <v>0</v>
      </c>
      <c r="AK1327" t="n">
        <v>9</v>
      </c>
      <c r="AL1327" t="n">
        <v>0</v>
      </c>
      <c r="AM1327" t="n">
        <v>2</v>
      </c>
      <c r="AN1327" t="n">
        <v>2</v>
      </c>
      <c r="AO1327" t="n">
        <v>12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HYPERLINK("https://creighton-primo.hosted.exlibrisgroup.com/primo-explore/search?tab=default_tab&amp;search_scope=EVERYTHING&amp;vid=01CRU&amp;lang=en_US&amp;offset=0&amp;query=any,contains,991004972659702656","Catalog Record")</f>
        <v/>
      </c>
      <c r="AT1327">
        <f>HYPERLINK("http://www.worldcat.org/oclc/6372680","WorldCat Record")</f>
        <v/>
      </c>
      <c r="AU1327" t="inlineStr">
        <is>
          <t>425265773:eng</t>
        </is>
      </c>
      <c r="AV1327" t="inlineStr">
        <is>
          <t>6372680</t>
        </is>
      </c>
      <c r="AW1327" t="inlineStr">
        <is>
          <t>991004972659702656</t>
        </is>
      </c>
      <c r="AX1327" t="inlineStr">
        <is>
          <t>991004972659702656</t>
        </is>
      </c>
      <c r="AY1327" t="inlineStr">
        <is>
          <t>2267752130002656</t>
        </is>
      </c>
      <c r="AZ1327" t="inlineStr">
        <is>
          <t>BOOK</t>
        </is>
      </c>
      <c r="BB1327" t="inlineStr">
        <is>
          <t>9780813908328</t>
        </is>
      </c>
      <c r="BC1327" t="inlineStr">
        <is>
          <t>32285000087287</t>
        </is>
      </c>
      <c r="BD1327" t="inlineStr">
        <is>
          <t>893325999</t>
        </is>
      </c>
    </row>
    <row r="1328">
      <c r="A1328" t="inlineStr">
        <is>
          <t>No</t>
        </is>
      </c>
      <c r="B1328" t="inlineStr">
        <is>
          <t>HV9091 .J88</t>
        </is>
      </c>
      <c r="C1328" t="inlineStr">
        <is>
          <t>0                      HV 9091000J  88</t>
        </is>
      </c>
      <c r="D1328" t="inlineStr">
        <is>
          <t>The Juvenile court / introduction by Robert M. Mennel.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L1328" t="inlineStr">
        <is>
          <t>New York : Arno Press, 1974.</t>
        </is>
      </c>
      <c r="M1328" t="inlineStr">
        <is>
          <t>1974</t>
        </is>
      </c>
      <c r="O1328" t="inlineStr">
        <is>
          <t>eng</t>
        </is>
      </c>
      <c r="P1328" t="inlineStr">
        <is>
          <t>nyu</t>
        </is>
      </c>
      <c r="Q1328" t="inlineStr">
        <is>
          <t>Children and youth : social problems and social policy</t>
        </is>
      </c>
      <c r="R1328" t="inlineStr">
        <is>
          <t xml:space="preserve">HV </t>
        </is>
      </c>
      <c r="S1328" t="n">
        <v>6</v>
      </c>
      <c r="T1328" t="n">
        <v>6</v>
      </c>
      <c r="U1328" t="inlineStr">
        <is>
          <t>2003-03-16</t>
        </is>
      </c>
      <c r="V1328" t="inlineStr">
        <is>
          <t>2003-03-16</t>
        </is>
      </c>
      <c r="W1328" t="inlineStr">
        <is>
          <t>1995-04-26</t>
        </is>
      </c>
      <c r="X1328" t="inlineStr">
        <is>
          <t>1995-04-26</t>
        </is>
      </c>
      <c r="Y1328" t="n">
        <v>208</v>
      </c>
      <c r="Z1328" t="n">
        <v>189</v>
      </c>
      <c r="AA1328" t="n">
        <v>189</v>
      </c>
      <c r="AB1328" t="n">
        <v>3</v>
      </c>
      <c r="AC1328" t="n">
        <v>3</v>
      </c>
      <c r="AD1328" t="n">
        <v>15</v>
      </c>
      <c r="AE1328" t="n">
        <v>15</v>
      </c>
      <c r="AF1328" t="n">
        <v>3</v>
      </c>
      <c r="AG1328" t="n">
        <v>3</v>
      </c>
      <c r="AH1328" t="n">
        <v>2</v>
      </c>
      <c r="AI1328" t="n">
        <v>2</v>
      </c>
      <c r="AJ1328" t="n">
        <v>3</v>
      </c>
      <c r="AK1328" t="n">
        <v>3</v>
      </c>
      <c r="AL1328" t="n">
        <v>1</v>
      </c>
      <c r="AM1328" t="n">
        <v>1</v>
      </c>
      <c r="AN1328" t="n">
        <v>8</v>
      </c>
      <c r="AO1328" t="n">
        <v>8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HYPERLINK("https://creighton-primo.hosted.exlibrisgroup.com/primo-explore/search?tab=default_tab&amp;search_scope=EVERYTHING&amp;vid=01CRU&amp;lang=en_US&amp;offset=0&amp;query=any,contains,991003367319702656","Catalog Record")</f>
        <v/>
      </c>
      <c r="AT1328">
        <f>HYPERLINK("http://www.worldcat.org/oclc/902718","WorldCat Record")</f>
        <v/>
      </c>
      <c r="AU1328" t="inlineStr">
        <is>
          <t>54013323:eng</t>
        </is>
      </c>
      <c r="AV1328" t="inlineStr">
        <is>
          <t>902718</t>
        </is>
      </c>
      <c r="AW1328" t="inlineStr">
        <is>
          <t>991003367319702656</t>
        </is>
      </c>
      <c r="AX1328" t="inlineStr">
        <is>
          <t>991003367319702656</t>
        </is>
      </c>
      <c r="AY1328" t="inlineStr">
        <is>
          <t>2262629400002656</t>
        </is>
      </c>
      <c r="AZ1328" t="inlineStr">
        <is>
          <t>BOOK</t>
        </is>
      </c>
      <c r="BB1328" t="inlineStr">
        <is>
          <t>9780405059650</t>
        </is>
      </c>
      <c r="BC1328" t="inlineStr">
        <is>
          <t>32285002029667</t>
        </is>
      </c>
      <c r="BD1328" t="inlineStr">
        <is>
          <t>893258359</t>
        </is>
      </c>
    </row>
    <row r="1329">
      <c r="A1329" t="inlineStr">
        <is>
          <t>No</t>
        </is>
      </c>
      <c r="B1329" t="inlineStr">
        <is>
          <t>HV9096.U5 H56</t>
        </is>
      </c>
      <c r="C1329" t="inlineStr">
        <is>
          <t>0                      HV 9096000U  5                  H  56</t>
        </is>
      </c>
      <c r="D1329" t="inlineStr">
        <is>
          <t>Causes of delinquency.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Hirschi, Travis.</t>
        </is>
      </c>
      <c r="L1329" t="inlineStr">
        <is>
          <t>Berkeley : University of California Press, 1969.</t>
        </is>
      </c>
      <c r="M1329" t="inlineStr">
        <is>
          <t>1969</t>
        </is>
      </c>
      <c r="O1329" t="inlineStr">
        <is>
          <t>eng</t>
        </is>
      </c>
      <c r="P1329" t="inlineStr">
        <is>
          <t>cau</t>
        </is>
      </c>
      <c r="R1329" t="inlineStr">
        <is>
          <t xml:space="preserve">HV </t>
        </is>
      </c>
      <c r="S1329" t="n">
        <v>10</v>
      </c>
      <c r="T1329" t="n">
        <v>10</v>
      </c>
      <c r="U1329" t="inlineStr">
        <is>
          <t>2009-04-20</t>
        </is>
      </c>
      <c r="V1329" t="inlineStr">
        <is>
          <t>2009-04-20</t>
        </is>
      </c>
      <c r="W1329" t="inlineStr">
        <is>
          <t>1992-02-26</t>
        </is>
      </c>
      <c r="X1329" t="inlineStr">
        <is>
          <t>1992-02-26</t>
        </is>
      </c>
      <c r="Y1329" t="n">
        <v>818</v>
      </c>
      <c r="Z1329" t="n">
        <v>671</v>
      </c>
      <c r="AA1329" t="n">
        <v>931</v>
      </c>
      <c r="AB1329" t="n">
        <v>7</v>
      </c>
      <c r="AC1329" t="n">
        <v>9</v>
      </c>
      <c r="AD1329" t="n">
        <v>31</v>
      </c>
      <c r="AE1329" t="n">
        <v>43</v>
      </c>
      <c r="AF1329" t="n">
        <v>11</v>
      </c>
      <c r="AG1329" t="n">
        <v>15</v>
      </c>
      <c r="AH1329" t="n">
        <v>6</v>
      </c>
      <c r="AI1329" t="n">
        <v>8</v>
      </c>
      <c r="AJ1329" t="n">
        <v>11</v>
      </c>
      <c r="AK1329" t="n">
        <v>14</v>
      </c>
      <c r="AL1329" t="n">
        <v>3</v>
      </c>
      <c r="AM1329" t="n">
        <v>5</v>
      </c>
      <c r="AN1329" t="n">
        <v>6</v>
      </c>
      <c r="AO1329" t="n">
        <v>8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HYPERLINK("https://creighton-primo.hosted.exlibrisgroup.com/primo-explore/search?tab=default_tab&amp;search_scope=EVERYTHING&amp;vid=01CRU&amp;lang=en_US&amp;offset=0&amp;query=any,contains,991000110329702656","Catalog Record")</f>
        <v/>
      </c>
      <c r="AT1329">
        <f>HYPERLINK("http://www.worldcat.org/oclc/47920","WorldCat Record")</f>
        <v/>
      </c>
      <c r="AU1329" t="inlineStr">
        <is>
          <t>500557:eng</t>
        </is>
      </c>
      <c r="AV1329" t="inlineStr">
        <is>
          <t>47920</t>
        </is>
      </c>
      <c r="AW1329" t="inlineStr">
        <is>
          <t>991000110329702656</t>
        </is>
      </c>
      <c r="AX1329" t="inlineStr">
        <is>
          <t>991000110329702656</t>
        </is>
      </c>
      <c r="AY1329" t="inlineStr">
        <is>
          <t>2262349320002656</t>
        </is>
      </c>
      <c r="AZ1329" t="inlineStr">
        <is>
          <t>BOOK</t>
        </is>
      </c>
      <c r="BC1329" t="inlineStr">
        <is>
          <t>32285000975093</t>
        </is>
      </c>
      <c r="BD1329" t="inlineStr">
        <is>
          <t>893613901</t>
        </is>
      </c>
    </row>
    <row r="1330">
      <c r="A1330" t="inlineStr">
        <is>
          <t>No</t>
        </is>
      </c>
      <c r="B1330" t="inlineStr">
        <is>
          <t>HV91 .A683 1996</t>
        </is>
      </c>
      <c r="C1330" t="inlineStr">
        <is>
          <t>0                      HV 0091000A  683         1996</t>
        </is>
      </c>
      <c r="D1330" t="inlineStr">
        <is>
          <t>The American welfare system : origins, structure, and effects / edited by Howard Gensler.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L1330" t="inlineStr">
        <is>
          <t>Westport, Conn. : Praeger, 1996.</t>
        </is>
      </c>
      <c r="M1330" t="inlineStr">
        <is>
          <t>1996</t>
        </is>
      </c>
      <c r="O1330" t="inlineStr">
        <is>
          <t>eng</t>
        </is>
      </c>
      <c r="P1330" t="inlineStr">
        <is>
          <t>ctu</t>
        </is>
      </c>
      <c r="R1330" t="inlineStr">
        <is>
          <t xml:space="preserve">HV </t>
        </is>
      </c>
      <c r="S1330" t="n">
        <v>8</v>
      </c>
      <c r="T1330" t="n">
        <v>8</v>
      </c>
      <c r="U1330" t="inlineStr">
        <is>
          <t>2006-03-22</t>
        </is>
      </c>
      <c r="V1330" t="inlineStr">
        <is>
          <t>2006-03-22</t>
        </is>
      </c>
      <c r="W1330" t="inlineStr">
        <is>
          <t>1996-10-16</t>
        </is>
      </c>
      <c r="X1330" t="inlineStr">
        <is>
          <t>1996-10-16</t>
        </is>
      </c>
      <c r="Y1330" t="n">
        <v>310</v>
      </c>
      <c r="Z1330" t="n">
        <v>262</v>
      </c>
      <c r="AA1330" t="n">
        <v>268</v>
      </c>
      <c r="AB1330" t="n">
        <v>2</v>
      </c>
      <c r="AC1330" t="n">
        <v>2</v>
      </c>
      <c r="AD1330" t="n">
        <v>11</v>
      </c>
      <c r="AE1330" t="n">
        <v>11</v>
      </c>
      <c r="AF1330" t="n">
        <v>3</v>
      </c>
      <c r="AG1330" t="n">
        <v>3</v>
      </c>
      <c r="AH1330" t="n">
        <v>3</v>
      </c>
      <c r="AI1330" t="n">
        <v>3</v>
      </c>
      <c r="AJ1330" t="n">
        <v>7</v>
      </c>
      <c r="AK1330" t="n">
        <v>7</v>
      </c>
      <c r="AL1330" t="n">
        <v>1</v>
      </c>
      <c r="AM1330" t="n">
        <v>1</v>
      </c>
      <c r="AN1330" t="n">
        <v>1</v>
      </c>
      <c r="AO1330" t="n">
        <v>1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HYPERLINK("https://creighton-primo.hosted.exlibrisgroup.com/primo-explore/search?tab=default_tab&amp;search_scope=EVERYTHING&amp;vid=01CRU&amp;lang=en_US&amp;offset=0&amp;query=any,contains,991002528009702656","Catalog Record")</f>
        <v/>
      </c>
      <c r="AT1330">
        <f>HYPERLINK("http://www.worldcat.org/oclc/32856371","WorldCat Record")</f>
        <v/>
      </c>
      <c r="AU1330" t="inlineStr">
        <is>
          <t>836967336:eng</t>
        </is>
      </c>
      <c r="AV1330" t="inlineStr">
        <is>
          <t>32856371</t>
        </is>
      </c>
      <c r="AW1330" t="inlineStr">
        <is>
          <t>991002528009702656</t>
        </is>
      </c>
      <c r="AX1330" t="inlineStr">
        <is>
          <t>991002528009702656</t>
        </is>
      </c>
      <c r="AY1330" t="inlineStr">
        <is>
          <t>2271395080002656</t>
        </is>
      </c>
      <c r="AZ1330" t="inlineStr">
        <is>
          <t>BOOK</t>
        </is>
      </c>
      <c r="BB1330" t="inlineStr">
        <is>
          <t>9780275952044</t>
        </is>
      </c>
      <c r="BC1330" t="inlineStr">
        <is>
          <t>32285002366374</t>
        </is>
      </c>
      <c r="BD1330" t="inlineStr">
        <is>
          <t>893786254</t>
        </is>
      </c>
    </row>
    <row r="1331">
      <c r="A1331" t="inlineStr">
        <is>
          <t>No</t>
        </is>
      </c>
      <c r="B1331" t="inlineStr">
        <is>
          <t>HV91 .B713 2008</t>
        </is>
      </c>
      <c r="C1331" t="inlineStr">
        <is>
          <t>0                      HV 0091000B  713         2008</t>
        </is>
      </c>
      <c r="D1331" t="inlineStr">
        <is>
          <t>Stealing from each other : how the welfare state robs Americans of money and spirit / Edgar K. Browning.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K1331" t="inlineStr">
        <is>
          <t>Browning, Edgar K.</t>
        </is>
      </c>
      <c r="L1331" t="inlineStr">
        <is>
          <t>Westport, Conn. : Praeger, 2008.</t>
        </is>
      </c>
      <c r="M1331" t="inlineStr">
        <is>
          <t>2008</t>
        </is>
      </c>
      <c r="O1331" t="inlineStr">
        <is>
          <t>eng</t>
        </is>
      </c>
      <c r="P1331" t="inlineStr">
        <is>
          <t>ctu</t>
        </is>
      </c>
      <c r="R1331" t="inlineStr">
        <is>
          <t xml:space="preserve">HV </t>
        </is>
      </c>
      <c r="S1331" t="n">
        <v>1</v>
      </c>
      <c r="T1331" t="n">
        <v>1</v>
      </c>
      <c r="U1331" t="inlineStr">
        <is>
          <t>2009-07-20</t>
        </is>
      </c>
      <c r="V1331" t="inlineStr">
        <is>
          <t>2009-07-20</t>
        </is>
      </c>
      <c r="W1331" t="inlineStr">
        <is>
          <t>2009-07-20</t>
        </is>
      </c>
      <c r="X1331" t="inlineStr">
        <is>
          <t>2009-07-20</t>
        </is>
      </c>
      <c r="Y1331" t="n">
        <v>513</v>
      </c>
      <c r="Z1331" t="n">
        <v>473</v>
      </c>
      <c r="AA1331" t="n">
        <v>494</v>
      </c>
      <c r="AB1331" t="n">
        <v>7</v>
      </c>
      <c r="AC1331" t="n">
        <v>7</v>
      </c>
      <c r="AD1331" t="n">
        <v>18</v>
      </c>
      <c r="AE1331" t="n">
        <v>19</v>
      </c>
      <c r="AF1331" t="n">
        <v>7</v>
      </c>
      <c r="AG1331" t="n">
        <v>8</v>
      </c>
      <c r="AH1331" t="n">
        <v>2</v>
      </c>
      <c r="AI1331" t="n">
        <v>3</v>
      </c>
      <c r="AJ1331" t="n">
        <v>8</v>
      </c>
      <c r="AK1331" t="n">
        <v>8</v>
      </c>
      <c r="AL1331" t="n">
        <v>6</v>
      </c>
      <c r="AM1331" t="n">
        <v>6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Yes</t>
        </is>
      </c>
      <c r="AR1331">
        <f>HYPERLINK("http://catalog.hathitrust.org/Record/005815000","HathiTrust Record")</f>
        <v/>
      </c>
      <c r="AS1331">
        <f>HYPERLINK("https://creighton-primo.hosted.exlibrisgroup.com/primo-explore/search?tab=default_tab&amp;search_scope=EVERYTHING&amp;vid=01CRU&amp;lang=en_US&amp;offset=0&amp;query=any,contains,991005327179702656","Catalog Record")</f>
        <v/>
      </c>
      <c r="AT1331">
        <f>HYPERLINK("http://www.worldcat.org/oclc/176861127","WorldCat Record")</f>
        <v/>
      </c>
      <c r="AU1331" t="inlineStr">
        <is>
          <t>213138596:eng</t>
        </is>
      </c>
      <c r="AV1331" t="inlineStr">
        <is>
          <t>176861127</t>
        </is>
      </c>
      <c r="AW1331" t="inlineStr">
        <is>
          <t>991005327179702656</t>
        </is>
      </c>
      <c r="AX1331" t="inlineStr">
        <is>
          <t>991005327179702656</t>
        </is>
      </c>
      <c r="AY1331" t="inlineStr">
        <is>
          <t>2263040560002656</t>
        </is>
      </c>
      <c r="AZ1331" t="inlineStr">
        <is>
          <t>BOOK</t>
        </is>
      </c>
      <c r="BB1331" t="inlineStr">
        <is>
          <t>9780313348228</t>
        </is>
      </c>
      <c r="BC1331" t="inlineStr">
        <is>
          <t>32285005538755</t>
        </is>
      </c>
      <c r="BD1331" t="inlineStr">
        <is>
          <t>893905378</t>
        </is>
      </c>
    </row>
    <row r="1332">
      <c r="A1332" t="inlineStr">
        <is>
          <t>No</t>
        </is>
      </c>
      <c r="B1332" t="inlineStr">
        <is>
          <t>HV91 .C675</t>
        </is>
      </c>
      <c r="C1332" t="inlineStr">
        <is>
          <t>0                      HV 0091000C  675</t>
        </is>
      </c>
      <c r="D1332" t="inlineStr">
        <is>
          <t>Giving in America : toward a stronger voluntary sector : report of the Commission on Private Philanthropy and Public Needs.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Commission on Private Philanthropy and Public Needs.</t>
        </is>
      </c>
      <c r="L1332" t="inlineStr">
        <is>
          <t>[Washington] : The Commission, c1975.</t>
        </is>
      </c>
      <c r="M1332" t="inlineStr">
        <is>
          <t>1975</t>
        </is>
      </c>
      <c r="O1332" t="inlineStr">
        <is>
          <t>eng</t>
        </is>
      </c>
      <c r="P1332" t="inlineStr">
        <is>
          <t>dcu</t>
        </is>
      </c>
      <c r="R1332" t="inlineStr">
        <is>
          <t xml:space="preserve">HV </t>
        </is>
      </c>
      <c r="S1332" t="n">
        <v>7</v>
      </c>
      <c r="T1332" t="n">
        <v>7</v>
      </c>
      <c r="U1332" t="inlineStr">
        <is>
          <t>2007-11-26</t>
        </is>
      </c>
      <c r="V1332" t="inlineStr">
        <is>
          <t>2007-11-26</t>
        </is>
      </c>
      <c r="W1332" t="inlineStr">
        <is>
          <t>1997-08-21</t>
        </is>
      </c>
      <c r="X1332" t="inlineStr">
        <is>
          <t>1997-08-21</t>
        </is>
      </c>
      <c r="Y1332" t="n">
        <v>375</v>
      </c>
      <c r="Z1332" t="n">
        <v>363</v>
      </c>
      <c r="AA1332" t="n">
        <v>369</v>
      </c>
      <c r="AB1332" t="n">
        <v>4</v>
      </c>
      <c r="AC1332" t="n">
        <v>4</v>
      </c>
      <c r="AD1332" t="n">
        <v>21</v>
      </c>
      <c r="AE1332" t="n">
        <v>21</v>
      </c>
      <c r="AF1332" t="n">
        <v>5</v>
      </c>
      <c r="AG1332" t="n">
        <v>5</v>
      </c>
      <c r="AH1332" t="n">
        <v>3</v>
      </c>
      <c r="AI1332" t="n">
        <v>3</v>
      </c>
      <c r="AJ1332" t="n">
        <v>11</v>
      </c>
      <c r="AK1332" t="n">
        <v>11</v>
      </c>
      <c r="AL1332" t="n">
        <v>2</v>
      </c>
      <c r="AM1332" t="n">
        <v>2</v>
      </c>
      <c r="AN1332" t="n">
        <v>4</v>
      </c>
      <c r="AO1332" t="n">
        <v>4</v>
      </c>
      <c r="AP1332" t="inlineStr">
        <is>
          <t>No</t>
        </is>
      </c>
      <c r="AQ1332" t="inlineStr">
        <is>
          <t>No</t>
        </is>
      </c>
      <c r="AS1332">
        <f>HYPERLINK("https://creighton-primo.hosted.exlibrisgroup.com/primo-explore/search?tab=default_tab&amp;search_scope=EVERYTHING&amp;vid=01CRU&amp;lang=en_US&amp;offset=0&amp;query=any,contains,991003995359702656","Catalog Record")</f>
        <v/>
      </c>
      <c r="AT1332">
        <f>HYPERLINK("http://www.worldcat.org/oclc/2058702","WorldCat Record")</f>
        <v/>
      </c>
      <c r="AU1332" t="inlineStr">
        <is>
          <t>3651162:eng</t>
        </is>
      </c>
      <c r="AV1332" t="inlineStr">
        <is>
          <t>2058702</t>
        </is>
      </c>
      <c r="AW1332" t="inlineStr">
        <is>
          <t>991003995359702656</t>
        </is>
      </c>
      <c r="AX1332" t="inlineStr">
        <is>
          <t>991003995359702656</t>
        </is>
      </c>
      <c r="AY1332" t="inlineStr">
        <is>
          <t>2262905500002656</t>
        </is>
      </c>
      <c r="AZ1332" t="inlineStr">
        <is>
          <t>BOOK</t>
        </is>
      </c>
      <c r="BC1332" t="inlineStr">
        <is>
          <t>32285003155636</t>
        </is>
      </c>
      <c r="BD1332" t="inlineStr">
        <is>
          <t>893794359</t>
        </is>
      </c>
    </row>
    <row r="1333">
      <c r="A1333" t="inlineStr">
        <is>
          <t>No</t>
        </is>
      </c>
      <c r="B1333" t="inlineStr">
        <is>
          <t>HV91 .C6758 1992</t>
        </is>
      </c>
      <c r="C1333" t="inlineStr">
        <is>
          <t>0                      HV 0091000C  6758        1992</t>
        </is>
      </c>
      <c r="D1333" t="inlineStr">
        <is>
          <t>Controversial issues in social work / edited by Eileen Gambrill, Robert Pruger.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L1333" t="inlineStr">
        <is>
          <t>Boston : Allyn and Bacon, c1992.</t>
        </is>
      </c>
      <c r="M1333" t="inlineStr">
        <is>
          <t>1992</t>
        </is>
      </c>
      <c r="O1333" t="inlineStr">
        <is>
          <t>eng</t>
        </is>
      </c>
      <c r="P1333" t="inlineStr">
        <is>
          <t>mau</t>
        </is>
      </c>
      <c r="R1333" t="inlineStr">
        <is>
          <t xml:space="preserve">HV </t>
        </is>
      </c>
      <c r="S1333" t="n">
        <v>2</v>
      </c>
      <c r="T1333" t="n">
        <v>2</v>
      </c>
      <c r="U1333" t="inlineStr">
        <is>
          <t>2009-10-12</t>
        </is>
      </c>
      <c r="V1333" t="inlineStr">
        <is>
          <t>2009-10-12</t>
        </is>
      </c>
      <c r="W1333" t="inlineStr">
        <is>
          <t>1995-07-05</t>
        </is>
      </c>
      <c r="X1333" t="inlineStr">
        <is>
          <t>1995-07-05</t>
        </is>
      </c>
      <c r="Y1333" t="n">
        <v>328</v>
      </c>
      <c r="Z1333" t="n">
        <v>267</v>
      </c>
      <c r="AA1333" t="n">
        <v>271</v>
      </c>
      <c r="AB1333" t="n">
        <v>2</v>
      </c>
      <c r="AC1333" t="n">
        <v>2</v>
      </c>
      <c r="AD1333" t="n">
        <v>12</v>
      </c>
      <c r="AE1333" t="n">
        <v>12</v>
      </c>
      <c r="AF1333" t="n">
        <v>5</v>
      </c>
      <c r="AG1333" t="n">
        <v>5</v>
      </c>
      <c r="AH1333" t="n">
        <v>3</v>
      </c>
      <c r="AI1333" t="n">
        <v>3</v>
      </c>
      <c r="AJ1333" t="n">
        <v>6</v>
      </c>
      <c r="AK1333" t="n">
        <v>6</v>
      </c>
      <c r="AL1333" t="n">
        <v>1</v>
      </c>
      <c r="AM1333" t="n">
        <v>1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Yes</t>
        </is>
      </c>
      <c r="AR1333">
        <f>HYPERLINK("http://catalog.hathitrust.org/Record/002604024","HathiTrust Record")</f>
        <v/>
      </c>
      <c r="AS1333">
        <f>HYPERLINK("https://creighton-primo.hosted.exlibrisgroup.com/primo-explore/search?tab=default_tab&amp;search_scope=EVERYTHING&amp;vid=01CRU&amp;lang=en_US&amp;offset=0&amp;query=any,contains,991001904239702656","Catalog Record")</f>
        <v/>
      </c>
      <c r="AT1333">
        <f>HYPERLINK("http://www.worldcat.org/oclc/24066090","WorldCat Record")</f>
        <v/>
      </c>
      <c r="AU1333" t="inlineStr">
        <is>
          <t>356272580:eng</t>
        </is>
      </c>
      <c r="AV1333" t="inlineStr">
        <is>
          <t>24066090</t>
        </is>
      </c>
      <c r="AW1333" t="inlineStr">
        <is>
          <t>991001904239702656</t>
        </is>
      </c>
      <c r="AX1333" t="inlineStr">
        <is>
          <t>991001904239702656</t>
        </is>
      </c>
      <c r="AY1333" t="inlineStr">
        <is>
          <t>2262093460002656</t>
        </is>
      </c>
      <c r="AZ1333" t="inlineStr">
        <is>
          <t>BOOK</t>
        </is>
      </c>
      <c r="BB1333" t="inlineStr">
        <is>
          <t>9780205129027</t>
        </is>
      </c>
      <c r="BC1333" t="inlineStr">
        <is>
          <t>32285002053188</t>
        </is>
      </c>
      <c r="BD1333" t="inlineStr">
        <is>
          <t>893334699</t>
        </is>
      </c>
    </row>
    <row r="1334">
      <c r="A1334" t="inlineStr">
        <is>
          <t>No</t>
        </is>
      </c>
      <c r="B1334" t="inlineStr">
        <is>
          <t>HV91 .D462 1988</t>
        </is>
      </c>
      <c r="C1334" t="inlineStr">
        <is>
          <t>0                      HV 0091000D  462         1988</t>
        </is>
      </c>
      <c r="D1334" t="inlineStr">
        <is>
          <t>Democracy and the welfare state / edited by Amy Gutmann.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L1334" t="inlineStr">
        <is>
          <t>Princeton, N.J. : Princeton University Press, c1988.</t>
        </is>
      </c>
      <c r="M1334" t="inlineStr">
        <is>
          <t>1988</t>
        </is>
      </c>
      <c r="O1334" t="inlineStr">
        <is>
          <t>eng</t>
        </is>
      </c>
      <c r="P1334" t="inlineStr">
        <is>
          <t>nju</t>
        </is>
      </c>
      <c r="Q1334" t="inlineStr">
        <is>
          <t>Studies from the Project on the Federal Social Role</t>
        </is>
      </c>
      <c r="R1334" t="inlineStr">
        <is>
          <t xml:space="preserve">HV </t>
        </is>
      </c>
      <c r="S1334" t="n">
        <v>3</v>
      </c>
      <c r="T1334" t="n">
        <v>3</v>
      </c>
      <c r="U1334" t="inlineStr">
        <is>
          <t>1998-10-07</t>
        </is>
      </c>
      <c r="V1334" t="inlineStr">
        <is>
          <t>1998-10-07</t>
        </is>
      </c>
      <c r="W1334" t="inlineStr">
        <is>
          <t>1993-05-14</t>
        </is>
      </c>
      <c r="X1334" t="inlineStr">
        <is>
          <t>1993-05-14</t>
        </is>
      </c>
      <c r="Y1334" t="n">
        <v>761</v>
      </c>
      <c r="Z1334" t="n">
        <v>589</v>
      </c>
      <c r="AA1334" t="n">
        <v>743</v>
      </c>
      <c r="AB1334" t="n">
        <v>4</v>
      </c>
      <c r="AC1334" t="n">
        <v>4</v>
      </c>
      <c r="AD1334" t="n">
        <v>27</v>
      </c>
      <c r="AE1334" t="n">
        <v>36</v>
      </c>
      <c r="AF1334" t="n">
        <v>8</v>
      </c>
      <c r="AG1334" t="n">
        <v>14</v>
      </c>
      <c r="AH1334" t="n">
        <v>4</v>
      </c>
      <c r="AI1334" t="n">
        <v>7</v>
      </c>
      <c r="AJ1334" t="n">
        <v>14</v>
      </c>
      <c r="AK1334" t="n">
        <v>17</v>
      </c>
      <c r="AL1334" t="n">
        <v>3</v>
      </c>
      <c r="AM1334" t="n">
        <v>3</v>
      </c>
      <c r="AN1334" t="n">
        <v>3</v>
      </c>
      <c r="AO1334" t="n">
        <v>3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HYPERLINK("https://creighton-primo.hosted.exlibrisgroup.com/primo-explore/search?tab=default_tab&amp;search_scope=EVERYTHING&amp;vid=01CRU&amp;lang=en_US&amp;offset=0&amp;query=any,contains,991001209599702656","Catalog Record")</f>
        <v/>
      </c>
      <c r="AT1334">
        <f>HYPERLINK("http://www.worldcat.org/oclc/17384028","WorldCat Record")</f>
        <v/>
      </c>
      <c r="AU1334" t="inlineStr">
        <is>
          <t>138603829:eng</t>
        </is>
      </c>
      <c r="AV1334" t="inlineStr">
        <is>
          <t>17384028</t>
        </is>
      </c>
      <c r="AW1334" t="inlineStr">
        <is>
          <t>991001209599702656</t>
        </is>
      </c>
      <c r="AX1334" t="inlineStr">
        <is>
          <t>991001209599702656</t>
        </is>
      </c>
      <c r="AY1334" t="inlineStr">
        <is>
          <t>2269860310002656</t>
        </is>
      </c>
      <c r="AZ1334" t="inlineStr">
        <is>
          <t>BOOK</t>
        </is>
      </c>
      <c r="BB1334" t="inlineStr">
        <is>
          <t>9780691022758</t>
        </is>
      </c>
      <c r="BC1334" t="inlineStr">
        <is>
          <t>32285001680742</t>
        </is>
      </c>
      <c r="BD1334" t="inlineStr">
        <is>
          <t>893696567</t>
        </is>
      </c>
    </row>
    <row r="1335">
      <c r="A1335" t="inlineStr">
        <is>
          <t>No</t>
        </is>
      </c>
      <c r="B1335" t="inlineStr">
        <is>
          <t>HV91 .E453 1988</t>
        </is>
      </c>
      <c r="C1335" t="inlineStr">
        <is>
          <t>0                      HV 0091000E  453         1988</t>
        </is>
      </c>
      <c r="D1335" t="inlineStr">
        <is>
          <t>Poor support : poverty in the American family / David T. Ellwood.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Ellwood, David T.</t>
        </is>
      </c>
      <c r="L1335" t="inlineStr">
        <is>
          <t>New York : Basic Books, c1988.</t>
        </is>
      </c>
      <c r="M1335" t="inlineStr">
        <is>
          <t>1988</t>
        </is>
      </c>
      <c r="O1335" t="inlineStr">
        <is>
          <t>eng</t>
        </is>
      </c>
      <c r="P1335" t="inlineStr">
        <is>
          <t>nyu</t>
        </is>
      </c>
      <c r="R1335" t="inlineStr">
        <is>
          <t xml:space="preserve">HV </t>
        </is>
      </c>
      <c r="S1335" t="n">
        <v>8</v>
      </c>
      <c r="T1335" t="n">
        <v>8</v>
      </c>
      <c r="U1335" t="inlineStr">
        <is>
          <t>1999-04-20</t>
        </is>
      </c>
      <c r="V1335" t="inlineStr">
        <is>
          <t>1999-04-20</t>
        </is>
      </c>
      <c r="W1335" t="inlineStr">
        <is>
          <t>1993-05-14</t>
        </is>
      </c>
      <c r="X1335" t="inlineStr">
        <is>
          <t>1993-05-14</t>
        </is>
      </c>
      <c r="Y1335" t="n">
        <v>1254</v>
      </c>
      <c r="Z1335" t="n">
        <v>1146</v>
      </c>
      <c r="AA1335" t="n">
        <v>1152</v>
      </c>
      <c r="AB1335" t="n">
        <v>5</v>
      </c>
      <c r="AC1335" t="n">
        <v>5</v>
      </c>
      <c r="AD1335" t="n">
        <v>48</v>
      </c>
      <c r="AE1335" t="n">
        <v>48</v>
      </c>
      <c r="AF1335" t="n">
        <v>19</v>
      </c>
      <c r="AG1335" t="n">
        <v>19</v>
      </c>
      <c r="AH1335" t="n">
        <v>9</v>
      </c>
      <c r="AI1335" t="n">
        <v>9</v>
      </c>
      <c r="AJ1335" t="n">
        <v>21</v>
      </c>
      <c r="AK1335" t="n">
        <v>21</v>
      </c>
      <c r="AL1335" t="n">
        <v>4</v>
      </c>
      <c r="AM1335" t="n">
        <v>4</v>
      </c>
      <c r="AN1335" t="n">
        <v>6</v>
      </c>
      <c r="AO1335" t="n">
        <v>6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HYPERLINK("http://catalog.hathitrust.org/Record/000916282","HathiTrust Record")</f>
        <v/>
      </c>
      <c r="AS1335">
        <f>HYPERLINK("https://creighton-primo.hosted.exlibrisgroup.com/primo-explore/search?tab=default_tab&amp;search_scope=EVERYTHING&amp;vid=01CRU&amp;lang=en_US&amp;offset=0&amp;query=any,contains,991001226009702656","Catalog Record")</f>
        <v/>
      </c>
      <c r="AT1335">
        <f>HYPERLINK("http://www.worldcat.org/oclc/17507301","WorldCat Record")</f>
        <v/>
      </c>
      <c r="AU1335" t="inlineStr">
        <is>
          <t>15505281:eng</t>
        </is>
      </c>
      <c r="AV1335" t="inlineStr">
        <is>
          <t>17507301</t>
        </is>
      </c>
      <c r="AW1335" t="inlineStr">
        <is>
          <t>991001226009702656</t>
        </is>
      </c>
      <c r="AX1335" t="inlineStr">
        <is>
          <t>991001226009702656</t>
        </is>
      </c>
      <c r="AY1335" t="inlineStr">
        <is>
          <t>2271233540002656</t>
        </is>
      </c>
      <c r="AZ1335" t="inlineStr">
        <is>
          <t>BOOK</t>
        </is>
      </c>
      <c r="BB1335" t="inlineStr">
        <is>
          <t>9780465059966</t>
        </is>
      </c>
      <c r="BC1335" t="inlineStr">
        <is>
          <t>32285001680775</t>
        </is>
      </c>
      <c r="BD1335" t="inlineStr">
        <is>
          <t>893496928</t>
        </is>
      </c>
    </row>
    <row r="1336">
      <c r="A1336" t="inlineStr">
        <is>
          <t>No</t>
        </is>
      </c>
      <c r="B1336" t="inlineStr">
        <is>
          <t>HV91 .F684 1993</t>
        </is>
      </c>
      <c r="C1336" t="inlineStr">
        <is>
          <t>0                      HV 0091000F  684         1993</t>
        </is>
      </c>
      <c r="D1336" t="inlineStr">
        <is>
          <t>The kindness of strangers : adult mentors, urban youth, and the new voluntarism / Marc Freedman.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Freedman, Marc.</t>
        </is>
      </c>
      <c r="L1336" t="inlineStr">
        <is>
          <t>San Francisco, Calif. : Jossey-Bass, c1993.</t>
        </is>
      </c>
      <c r="M1336" t="inlineStr">
        <is>
          <t>1993</t>
        </is>
      </c>
      <c r="N1336" t="inlineStr">
        <is>
          <t>1st ed.</t>
        </is>
      </c>
      <c r="O1336" t="inlineStr">
        <is>
          <t>eng</t>
        </is>
      </c>
      <c r="P1336" t="inlineStr">
        <is>
          <t>cau</t>
        </is>
      </c>
      <c r="R1336" t="inlineStr">
        <is>
          <t xml:space="preserve">HV </t>
        </is>
      </c>
      <c r="S1336" t="n">
        <v>7</v>
      </c>
      <c r="T1336" t="n">
        <v>7</v>
      </c>
      <c r="U1336" t="inlineStr">
        <is>
          <t>2001-11-19</t>
        </is>
      </c>
      <c r="V1336" t="inlineStr">
        <is>
          <t>2001-11-19</t>
        </is>
      </c>
      <c r="W1336" t="inlineStr">
        <is>
          <t>1994-01-26</t>
        </is>
      </c>
      <c r="X1336" t="inlineStr">
        <is>
          <t>1994-01-26</t>
        </is>
      </c>
      <c r="Y1336" t="n">
        <v>649</v>
      </c>
      <c r="Z1336" t="n">
        <v>596</v>
      </c>
      <c r="AA1336" t="n">
        <v>712</v>
      </c>
      <c r="AB1336" t="n">
        <v>7</v>
      </c>
      <c r="AC1336" t="n">
        <v>8</v>
      </c>
      <c r="AD1336" t="n">
        <v>26</v>
      </c>
      <c r="AE1336" t="n">
        <v>33</v>
      </c>
      <c r="AF1336" t="n">
        <v>8</v>
      </c>
      <c r="AG1336" t="n">
        <v>12</v>
      </c>
      <c r="AH1336" t="n">
        <v>5</v>
      </c>
      <c r="AI1336" t="n">
        <v>7</v>
      </c>
      <c r="AJ1336" t="n">
        <v>14</v>
      </c>
      <c r="AK1336" t="n">
        <v>16</v>
      </c>
      <c r="AL1336" t="n">
        <v>6</v>
      </c>
      <c r="AM1336" t="n">
        <v>7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HYPERLINK("http://catalog.hathitrust.org/Record/002734442","HathiTrust Record")</f>
        <v/>
      </c>
      <c r="AS1336">
        <f>HYPERLINK("https://creighton-primo.hosted.exlibrisgroup.com/primo-explore/search?tab=default_tab&amp;search_scope=EVERYTHING&amp;vid=01CRU&amp;lang=en_US&amp;offset=0&amp;query=any,contains,991002181359702656","Catalog Record")</f>
        <v/>
      </c>
      <c r="AT1336">
        <f>HYPERLINK("http://www.worldcat.org/oclc/28067683","WorldCat Record")</f>
        <v/>
      </c>
      <c r="AU1336" t="inlineStr">
        <is>
          <t>386194:eng</t>
        </is>
      </c>
      <c r="AV1336" t="inlineStr">
        <is>
          <t>28067683</t>
        </is>
      </c>
      <c r="AW1336" t="inlineStr">
        <is>
          <t>991002181359702656</t>
        </is>
      </c>
      <c r="AX1336" t="inlineStr">
        <is>
          <t>991002181359702656</t>
        </is>
      </c>
      <c r="AY1336" t="inlineStr">
        <is>
          <t>2258969800002656</t>
        </is>
      </c>
      <c r="AZ1336" t="inlineStr">
        <is>
          <t>BOOK</t>
        </is>
      </c>
      <c r="BB1336" t="inlineStr">
        <is>
          <t>9781555425579</t>
        </is>
      </c>
      <c r="BC1336" t="inlineStr">
        <is>
          <t>32285001833630</t>
        </is>
      </c>
      <c r="BD1336" t="inlineStr">
        <is>
          <t>893885942</t>
        </is>
      </c>
    </row>
    <row r="1337">
      <c r="A1337" t="inlineStr">
        <is>
          <t>No</t>
        </is>
      </c>
      <c r="B1337" t="inlineStr">
        <is>
          <t>HV91 .G34</t>
        </is>
      </c>
      <c r="C1337" t="inlineStr">
        <is>
          <t>0                      HV 0091000G  34</t>
        </is>
      </c>
      <c r="D1337" t="inlineStr">
        <is>
          <t>Self-help in the human services / Alan Gartner, Frank Riessman.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Gartner, Alan.</t>
        </is>
      </c>
      <c r="L1337" t="inlineStr">
        <is>
          <t>San Francisco : Jossey-Bass Publishers, 1977.</t>
        </is>
      </c>
      <c r="M1337" t="inlineStr">
        <is>
          <t>1977</t>
        </is>
      </c>
      <c r="N1337" t="inlineStr">
        <is>
          <t>1st ed.</t>
        </is>
      </c>
      <c r="O1337" t="inlineStr">
        <is>
          <t>eng</t>
        </is>
      </c>
      <c r="P1337" t="inlineStr">
        <is>
          <t>cau</t>
        </is>
      </c>
      <c r="Q1337" t="inlineStr">
        <is>
          <t>The Jossey-Bass behavioral science series</t>
        </is>
      </c>
      <c r="R1337" t="inlineStr">
        <is>
          <t xml:space="preserve">HV </t>
        </is>
      </c>
      <c r="S1337" t="n">
        <v>1</v>
      </c>
      <c r="T1337" t="n">
        <v>1</v>
      </c>
      <c r="U1337" t="inlineStr">
        <is>
          <t>2005-07-21</t>
        </is>
      </c>
      <c r="V1337" t="inlineStr">
        <is>
          <t>2005-07-21</t>
        </is>
      </c>
      <c r="W1337" t="inlineStr">
        <is>
          <t>1994-11-29</t>
        </is>
      </c>
      <c r="X1337" t="inlineStr">
        <is>
          <t>1994-11-29</t>
        </is>
      </c>
      <c r="Y1337" t="n">
        <v>582</v>
      </c>
      <c r="Z1337" t="n">
        <v>479</v>
      </c>
      <c r="AA1337" t="n">
        <v>495</v>
      </c>
      <c r="AB1337" t="n">
        <v>6</v>
      </c>
      <c r="AC1337" t="n">
        <v>6</v>
      </c>
      <c r="AD1337" t="n">
        <v>19</v>
      </c>
      <c r="AE1337" t="n">
        <v>21</v>
      </c>
      <c r="AF1337" t="n">
        <v>7</v>
      </c>
      <c r="AG1337" t="n">
        <v>8</v>
      </c>
      <c r="AH1337" t="n">
        <v>1</v>
      </c>
      <c r="AI1337" t="n">
        <v>2</v>
      </c>
      <c r="AJ1337" t="n">
        <v>9</v>
      </c>
      <c r="AK1337" t="n">
        <v>9</v>
      </c>
      <c r="AL1337" t="n">
        <v>4</v>
      </c>
      <c r="AM1337" t="n">
        <v>4</v>
      </c>
      <c r="AN1337" t="n">
        <v>1</v>
      </c>
      <c r="AO1337" t="n">
        <v>1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HYPERLINK("http://catalog.hathitrust.org/Record/000750387","HathiTrust Record")</f>
        <v/>
      </c>
      <c r="AS1337">
        <f>HYPERLINK("https://creighton-primo.hosted.exlibrisgroup.com/primo-explore/search?tab=default_tab&amp;search_scope=EVERYTHING&amp;vid=01CRU&amp;lang=en_US&amp;offset=0&amp;query=any,contains,991004416829702656","Catalog Record")</f>
        <v/>
      </c>
      <c r="AT1337">
        <f>HYPERLINK("http://www.worldcat.org/oclc/3365988","WorldCat Record")</f>
        <v/>
      </c>
      <c r="AU1337" t="inlineStr">
        <is>
          <t>9381054861:eng</t>
        </is>
      </c>
      <c r="AV1337" t="inlineStr">
        <is>
          <t>3365988</t>
        </is>
      </c>
      <c r="AW1337" t="inlineStr">
        <is>
          <t>991004416829702656</t>
        </is>
      </c>
      <c r="AX1337" t="inlineStr">
        <is>
          <t>991004416829702656</t>
        </is>
      </c>
      <c r="AY1337" t="inlineStr">
        <is>
          <t>2257762100002656</t>
        </is>
      </c>
      <c r="AZ1337" t="inlineStr">
        <is>
          <t>BOOK</t>
        </is>
      </c>
      <c r="BB1337" t="inlineStr">
        <is>
          <t>9780875893389</t>
        </is>
      </c>
      <c r="BC1337" t="inlineStr">
        <is>
          <t>32285001968865</t>
        </is>
      </c>
      <c r="BD1337" t="inlineStr">
        <is>
          <t>893869691</t>
        </is>
      </c>
    </row>
    <row r="1338">
      <c r="A1338" t="inlineStr">
        <is>
          <t>No</t>
        </is>
      </c>
      <c r="B1338" t="inlineStr">
        <is>
          <t>HV91 .G447 2004</t>
        </is>
      </c>
      <c r="C1338" t="inlineStr">
        <is>
          <t>0                      HV 0091000G  447         2004</t>
        </is>
      </c>
      <c r="D1338" t="inlineStr">
        <is>
          <t>What social workers do / by Margaret Gibelman.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Gibelman, Margaret.</t>
        </is>
      </c>
      <c r="L1338" t="inlineStr">
        <is>
          <t>Washington, DC : NASW Press, [2004?]</t>
        </is>
      </c>
      <c r="M1338" t="inlineStr">
        <is>
          <t>2004</t>
        </is>
      </c>
      <c r="N1338" t="inlineStr">
        <is>
          <t>2nd ed.</t>
        </is>
      </c>
      <c r="O1338" t="inlineStr">
        <is>
          <t>eng</t>
        </is>
      </c>
      <c r="P1338" t="inlineStr">
        <is>
          <t>dcu</t>
        </is>
      </c>
      <c r="R1338" t="inlineStr">
        <is>
          <t xml:space="preserve">HV </t>
        </is>
      </c>
      <c r="S1338" t="n">
        <v>2</v>
      </c>
      <c r="T1338" t="n">
        <v>2</v>
      </c>
      <c r="U1338" t="inlineStr">
        <is>
          <t>2005-11-08</t>
        </is>
      </c>
      <c r="V1338" t="inlineStr">
        <is>
          <t>2005-11-08</t>
        </is>
      </c>
      <c r="W1338" t="inlineStr">
        <is>
          <t>2005-11-08</t>
        </is>
      </c>
      <c r="X1338" t="inlineStr">
        <is>
          <t>2005-11-08</t>
        </is>
      </c>
      <c r="Y1338" t="n">
        <v>460</v>
      </c>
      <c r="Z1338" t="n">
        <v>421</v>
      </c>
      <c r="AA1338" t="n">
        <v>700</v>
      </c>
      <c r="AB1338" t="n">
        <v>4</v>
      </c>
      <c r="AC1338" t="n">
        <v>5</v>
      </c>
      <c r="AD1338" t="n">
        <v>20</v>
      </c>
      <c r="AE1338" t="n">
        <v>29</v>
      </c>
      <c r="AF1338" t="n">
        <v>10</v>
      </c>
      <c r="AG1338" t="n">
        <v>14</v>
      </c>
      <c r="AH1338" t="n">
        <v>2</v>
      </c>
      <c r="AI1338" t="n">
        <v>5</v>
      </c>
      <c r="AJ1338" t="n">
        <v>7</v>
      </c>
      <c r="AK1338" t="n">
        <v>13</v>
      </c>
      <c r="AL1338" t="n">
        <v>3</v>
      </c>
      <c r="AM1338" t="n">
        <v>4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No</t>
        </is>
      </c>
      <c r="AS1338">
        <f>HYPERLINK("https://creighton-primo.hosted.exlibrisgroup.com/primo-explore/search?tab=default_tab&amp;search_scope=EVERYTHING&amp;vid=01CRU&amp;lang=en_US&amp;offset=0&amp;query=any,contains,991004408989702656","Catalog Record")</f>
        <v/>
      </c>
      <c r="AT1338">
        <f>HYPERLINK("http://www.worldcat.org/oclc/53477119","WorldCat Record")</f>
        <v/>
      </c>
      <c r="AU1338" t="inlineStr">
        <is>
          <t>11468612:eng</t>
        </is>
      </c>
      <c r="AV1338" t="inlineStr">
        <is>
          <t>53477119</t>
        </is>
      </c>
      <c r="AW1338" t="inlineStr">
        <is>
          <t>991004408989702656</t>
        </is>
      </c>
      <c r="AX1338" t="inlineStr">
        <is>
          <t>991004408989702656</t>
        </is>
      </c>
      <c r="AY1338" t="inlineStr">
        <is>
          <t>2270430570002656</t>
        </is>
      </c>
      <c r="AZ1338" t="inlineStr">
        <is>
          <t>BOOK</t>
        </is>
      </c>
      <c r="BB1338" t="inlineStr">
        <is>
          <t>9780871013644</t>
        </is>
      </c>
      <c r="BC1338" t="inlineStr">
        <is>
          <t>32285005145197</t>
        </is>
      </c>
      <c r="BD1338" t="inlineStr">
        <is>
          <t>893411501</t>
        </is>
      </c>
    </row>
    <row r="1339">
      <c r="A1339" t="inlineStr">
        <is>
          <t>No</t>
        </is>
      </c>
      <c r="B1339" t="inlineStr">
        <is>
          <t>HV91 .G6</t>
        </is>
      </c>
      <c r="C1339" t="inlineStr">
        <is>
          <t>0                      HV 0091000G  6</t>
        </is>
      </c>
      <c r="D1339" t="inlineStr">
        <is>
          <t>The economics of welfare policies.</t>
        </is>
      </c>
      <c r="F1339" t="inlineStr">
        <is>
          <t>No</t>
        </is>
      </c>
      <c r="G1339" t="inlineStr">
        <is>
          <t>1</t>
        </is>
      </c>
      <c r="H1339" t="inlineStr">
        <is>
          <t>Yes</t>
        </is>
      </c>
      <c r="I1339" t="inlineStr">
        <is>
          <t>No</t>
        </is>
      </c>
      <c r="J1339" t="inlineStr">
        <is>
          <t>0</t>
        </is>
      </c>
      <c r="K1339" t="inlineStr">
        <is>
          <t>Gordon, Margaret S.</t>
        </is>
      </c>
      <c r="L1339" t="inlineStr">
        <is>
          <t>New York : Columbia University Press, 1963.</t>
        </is>
      </c>
      <c r="M1339" t="inlineStr">
        <is>
          <t>1963</t>
        </is>
      </c>
      <c r="O1339" t="inlineStr">
        <is>
          <t>eng</t>
        </is>
      </c>
      <c r="P1339" t="inlineStr">
        <is>
          <t>nyu</t>
        </is>
      </c>
      <c r="R1339" t="inlineStr">
        <is>
          <t xml:space="preserve">HV </t>
        </is>
      </c>
      <c r="S1339" t="n">
        <v>3</v>
      </c>
      <c r="T1339" t="n">
        <v>3</v>
      </c>
      <c r="U1339" t="inlineStr">
        <is>
          <t>1996-02-11</t>
        </is>
      </c>
      <c r="V1339" t="inlineStr">
        <is>
          <t>1996-02-11</t>
        </is>
      </c>
      <c r="W1339" t="inlineStr">
        <is>
          <t>1994-11-29</t>
        </is>
      </c>
      <c r="X1339" t="inlineStr">
        <is>
          <t>1999-09-17</t>
        </is>
      </c>
      <c r="Y1339" t="n">
        <v>752</v>
      </c>
      <c r="Z1339" t="n">
        <v>623</v>
      </c>
      <c r="AA1339" t="n">
        <v>631</v>
      </c>
      <c r="AB1339" t="n">
        <v>5</v>
      </c>
      <c r="AC1339" t="n">
        <v>5</v>
      </c>
      <c r="AD1339" t="n">
        <v>36</v>
      </c>
      <c r="AE1339" t="n">
        <v>36</v>
      </c>
      <c r="AF1339" t="n">
        <v>15</v>
      </c>
      <c r="AG1339" t="n">
        <v>15</v>
      </c>
      <c r="AH1339" t="n">
        <v>8</v>
      </c>
      <c r="AI1339" t="n">
        <v>8</v>
      </c>
      <c r="AJ1339" t="n">
        <v>16</v>
      </c>
      <c r="AK1339" t="n">
        <v>16</v>
      </c>
      <c r="AL1339" t="n">
        <v>3</v>
      </c>
      <c r="AM1339" t="n">
        <v>3</v>
      </c>
      <c r="AN1339" t="n">
        <v>3</v>
      </c>
      <c r="AO1339" t="n">
        <v>3</v>
      </c>
      <c r="AP1339" t="inlineStr">
        <is>
          <t>No</t>
        </is>
      </c>
      <c r="AQ1339" t="inlineStr">
        <is>
          <t>No</t>
        </is>
      </c>
      <c r="AS1339">
        <f>HYPERLINK("https://creighton-primo.hosted.exlibrisgroup.com/primo-explore/search?tab=default_tab&amp;search_scope=EVERYTHING&amp;vid=01CRU&amp;lang=en_US&amp;offset=0&amp;query=any,contains,991001620719702656","Catalog Record")</f>
        <v/>
      </c>
      <c r="AT1339">
        <f>HYPERLINK("http://www.worldcat.org/oclc/263223","WorldCat Record")</f>
        <v/>
      </c>
      <c r="AU1339" t="inlineStr">
        <is>
          <t>1376515:eng</t>
        </is>
      </c>
      <c r="AV1339" t="inlineStr">
        <is>
          <t>263223</t>
        </is>
      </c>
      <c r="AW1339" t="inlineStr">
        <is>
          <t>991001620719702656</t>
        </is>
      </c>
      <c r="AX1339" t="inlineStr">
        <is>
          <t>991001620719702656</t>
        </is>
      </c>
      <c r="AY1339" t="inlineStr">
        <is>
          <t>2268591190002656</t>
        </is>
      </c>
      <c r="AZ1339" t="inlineStr">
        <is>
          <t>BOOK</t>
        </is>
      </c>
      <c r="BC1339" t="inlineStr">
        <is>
          <t>32285001968857</t>
        </is>
      </c>
      <c r="BD1339" t="inlineStr">
        <is>
          <t>893351935</t>
        </is>
      </c>
    </row>
    <row r="1340">
      <c r="A1340" t="inlineStr">
        <is>
          <t>No</t>
        </is>
      </c>
      <c r="B1340" t="inlineStr">
        <is>
          <t>HV91 .K34</t>
        </is>
      </c>
      <c r="C1340" t="inlineStr">
        <is>
          <t>0                      HV 0091000K  34</t>
        </is>
      </c>
      <c r="D1340" t="inlineStr">
        <is>
          <t>Give! Who gets your charity dollar?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Katz, Harvey.</t>
        </is>
      </c>
      <c r="L1340" t="inlineStr">
        <is>
          <t>Garden City, N.Y., Anchor Press, 1974.</t>
        </is>
      </c>
      <c r="M1340" t="inlineStr">
        <is>
          <t>1974</t>
        </is>
      </c>
      <c r="N1340" t="inlineStr">
        <is>
          <t>[1st ed.]</t>
        </is>
      </c>
      <c r="O1340" t="inlineStr">
        <is>
          <t>eng</t>
        </is>
      </c>
      <c r="P1340" t="inlineStr">
        <is>
          <t>nyu</t>
        </is>
      </c>
      <c r="R1340" t="inlineStr">
        <is>
          <t xml:space="preserve">HV </t>
        </is>
      </c>
      <c r="S1340" t="n">
        <v>1</v>
      </c>
      <c r="T1340" t="n">
        <v>1</v>
      </c>
      <c r="U1340" t="inlineStr">
        <is>
          <t>2000-11-27</t>
        </is>
      </c>
      <c r="V1340" t="inlineStr">
        <is>
          <t>2000-11-27</t>
        </is>
      </c>
      <c r="W1340" t="inlineStr">
        <is>
          <t>1997-08-21</t>
        </is>
      </c>
      <c r="X1340" t="inlineStr">
        <is>
          <t>1997-08-21</t>
        </is>
      </c>
      <c r="Y1340" t="n">
        <v>394</v>
      </c>
      <c r="Z1340" t="n">
        <v>380</v>
      </c>
      <c r="AA1340" t="n">
        <v>439</v>
      </c>
      <c r="AB1340" t="n">
        <v>4</v>
      </c>
      <c r="AC1340" t="n">
        <v>4</v>
      </c>
      <c r="AD1340" t="n">
        <v>10</v>
      </c>
      <c r="AE1340" t="n">
        <v>11</v>
      </c>
      <c r="AF1340" t="n">
        <v>2</v>
      </c>
      <c r="AG1340" t="n">
        <v>2</v>
      </c>
      <c r="AH1340" t="n">
        <v>3</v>
      </c>
      <c r="AI1340" t="n">
        <v>3</v>
      </c>
      <c r="AJ1340" t="n">
        <v>5</v>
      </c>
      <c r="AK1340" t="n">
        <v>6</v>
      </c>
      <c r="AL1340" t="n">
        <v>2</v>
      </c>
      <c r="AM1340" t="n">
        <v>2</v>
      </c>
      <c r="AN1340" t="n">
        <v>1</v>
      </c>
      <c r="AO1340" t="n">
        <v>1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HYPERLINK("https://creighton-primo.hosted.exlibrisgroup.com/primo-explore/search?tab=default_tab&amp;search_scope=EVERYTHING&amp;vid=01CRU&amp;lang=en_US&amp;offset=0&amp;query=any,contains,991003556699702656","Catalog Record")</f>
        <v/>
      </c>
      <c r="AT1340">
        <f>HYPERLINK("http://www.worldcat.org/oclc/1125074","WorldCat Record")</f>
        <v/>
      </c>
      <c r="AU1340" t="inlineStr">
        <is>
          <t>2035157:eng</t>
        </is>
      </c>
      <c r="AV1340" t="inlineStr">
        <is>
          <t>1125074</t>
        </is>
      </c>
      <c r="AW1340" t="inlineStr">
        <is>
          <t>991003556699702656</t>
        </is>
      </c>
      <c r="AX1340" t="inlineStr">
        <is>
          <t>991003556699702656</t>
        </is>
      </c>
      <c r="AY1340" t="inlineStr">
        <is>
          <t>2268864450002656</t>
        </is>
      </c>
      <c r="AZ1340" t="inlineStr">
        <is>
          <t>BOOK</t>
        </is>
      </c>
      <c r="BB1340" t="inlineStr">
        <is>
          <t>9780385022200</t>
        </is>
      </c>
      <c r="BC1340" t="inlineStr">
        <is>
          <t>32285003155685</t>
        </is>
      </c>
      <c r="BD1340" t="inlineStr">
        <is>
          <t>893262805</t>
        </is>
      </c>
    </row>
    <row r="1341">
      <c r="A1341" t="inlineStr">
        <is>
          <t>No</t>
        </is>
      </c>
      <c r="B1341" t="inlineStr">
        <is>
          <t>HV91 .K349 1996</t>
        </is>
      </c>
      <c r="C1341" t="inlineStr">
        <is>
          <t>0                      HV 0091000K  349         1996</t>
        </is>
      </c>
      <c r="D1341" t="inlineStr">
        <is>
          <t>In the shadow of the poorhouse : a social history of welfare in America / Michael B. Katz.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K1341" t="inlineStr">
        <is>
          <t>Katz, Michael B., 1939-2014.</t>
        </is>
      </c>
      <c r="L1341" t="inlineStr">
        <is>
          <t>New York : BasicBooks, c1996.</t>
        </is>
      </c>
      <c r="M1341" t="inlineStr">
        <is>
          <t>1996</t>
        </is>
      </c>
      <c r="N1341" t="inlineStr">
        <is>
          <t>10th anniversary ed., rev. and updated.</t>
        </is>
      </c>
      <c r="O1341" t="inlineStr">
        <is>
          <t>eng</t>
        </is>
      </c>
      <c r="P1341" t="inlineStr">
        <is>
          <t>nyu</t>
        </is>
      </c>
      <c r="R1341" t="inlineStr">
        <is>
          <t xml:space="preserve">HV </t>
        </is>
      </c>
      <c r="S1341" t="n">
        <v>8</v>
      </c>
      <c r="T1341" t="n">
        <v>8</v>
      </c>
      <c r="U1341" t="inlineStr">
        <is>
          <t>2004-02-24</t>
        </is>
      </c>
      <c r="V1341" t="inlineStr">
        <is>
          <t>2004-02-24</t>
        </is>
      </c>
      <c r="W1341" t="inlineStr">
        <is>
          <t>1997-02-19</t>
        </is>
      </c>
      <c r="X1341" t="inlineStr">
        <is>
          <t>1997-02-19</t>
        </is>
      </c>
      <c r="Y1341" t="n">
        <v>543</v>
      </c>
      <c r="Z1341" t="n">
        <v>503</v>
      </c>
      <c r="AA1341" t="n">
        <v>1607</v>
      </c>
      <c r="AB1341" t="n">
        <v>4</v>
      </c>
      <c r="AC1341" t="n">
        <v>11</v>
      </c>
      <c r="AD1341" t="n">
        <v>24</v>
      </c>
      <c r="AE1341" t="n">
        <v>56</v>
      </c>
      <c r="AF1341" t="n">
        <v>8</v>
      </c>
      <c r="AG1341" t="n">
        <v>24</v>
      </c>
      <c r="AH1341" t="n">
        <v>3</v>
      </c>
      <c r="AI1341" t="n">
        <v>10</v>
      </c>
      <c r="AJ1341" t="n">
        <v>15</v>
      </c>
      <c r="AK1341" t="n">
        <v>24</v>
      </c>
      <c r="AL1341" t="n">
        <v>3</v>
      </c>
      <c r="AM1341" t="n">
        <v>8</v>
      </c>
      <c r="AN1341" t="n">
        <v>1</v>
      </c>
      <c r="AO1341" t="n">
        <v>3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HYPERLINK("https://creighton-primo.hosted.exlibrisgroup.com/primo-explore/search?tab=default_tab&amp;search_scope=EVERYTHING&amp;vid=01CRU&amp;lang=en_US&amp;offset=0&amp;query=any,contains,991002753479702656","Catalog Record")</f>
        <v/>
      </c>
      <c r="AT1341">
        <f>HYPERLINK("http://www.worldcat.org/oclc/36127250","WorldCat Record")</f>
        <v/>
      </c>
      <c r="AU1341" t="inlineStr">
        <is>
          <t>7562570:eng</t>
        </is>
      </c>
      <c r="AV1341" t="inlineStr">
        <is>
          <t>36127250</t>
        </is>
      </c>
      <c r="AW1341" t="inlineStr">
        <is>
          <t>991002753479702656</t>
        </is>
      </c>
      <c r="AX1341" t="inlineStr">
        <is>
          <t>991002753479702656</t>
        </is>
      </c>
      <c r="AY1341" t="inlineStr">
        <is>
          <t>2266637260002656</t>
        </is>
      </c>
      <c r="AZ1341" t="inlineStr">
        <is>
          <t>BOOK</t>
        </is>
      </c>
      <c r="BB1341" t="inlineStr">
        <is>
          <t>9780465032105</t>
        </is>
      </c>
      <c r="BC1341" t="inlineStr">
        <is>
          <t>32285002431913</t>
        </is>
      </c>
      <c r="BD1341" t="inlineStr">
        <is>
          <t>893710645</t>
        </is>
      </c>
    </row>
    <row r="1342">
      <c r="A1342" t="inlineStr">
        <is>
          <t>No</t>
        </is>
      </c>
      <c r="B1342" t="inlineStr">
        <is>
          <t>HV91 .K35 1983</t>
        </is>
      </c>
      <c r="C1342" t="inlineStr">
        <is>
          <t>0                      HV 0091000K  35          1983</t>
        </is>
      </c>
      <c r="D1342" t="inlineStr">
        <is>
          <t>Poverty and policy in American history / Michael B. Katz.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Katz, M. B.</t>
        </is>
      </c>
      <c r="L1342" t="inlineStr">
        <is>
          <t>New York : Academic Press, c1983.</t>
        </is>
      </c>
      <c r="M1342" t="inlineStr">
        <is>
          <t>1983</t>
        </is>
      </c>
      <c r="O1342" t="inlineStr">
        <is>
          <t>eng</t>
        </is>
      </c>
      <c r="P1342" t="inlineStr">
        <is>
          <t>nyu</t>
        </is>
      </c>
      <c r="Q1342" t="inlineStr">
        <is>
          <t>Studies in social discontinuity</t>
        </is>
      </c>
      <c r="R1342" t="inlineStr">
        <is>
          <t xml:space="preserve">HV </t>
        </is>
      </c>
      <c r="S1342" t="n">
        <v>8</v>
      </c>
      <c r="T1342" t="n">
        <v>8</v>
      </c>
      <c r="U1342" t="inlineStr">
        <is>
          <t>2004-02-24</t>
        </is>
      </c>
      <c r="V1342" t="inlineStr">
        <is>
          <t>2004-02-24</t>
        </is>
      </c>
      <c r="W1342" t="inlineStr">
        <is>
          <t>1990-07-20</t>
        </is>
      </c>
      <c r="X1342" t="inlineStr">
        <is>
          <t>1990-07-20</t>
        </is>
      </c>
      <c r="Y1342" t="n">
        <v>745</v>
      </c>
      <c r="Z1342" t="n">
        <v>622</v>
      </c>
      <c r="AA1342" t="n">
        <v>662</v>
      </c>
      <c r="AB1342" t="n">
        <v>4</v>
      </c>
      <c r="AC1342" t="n">
        <v>4</v>
      </c>
      <c r="AD1342" t="n">
        <v>27</v>
      </c>
      <c r="AE1342" t="n">
        <v>29</v>
      </c>
      <c r="AF1342" t="n">
        <v>11</v>
      </c>
      <c r="AG1342" t="n">
        <v>12</v>
      </c>
      <c r="AH1342" t="n">
        <v>9</v>
      </c>
      <c r="AI1342" t="n">
        <v>11</v>
      </c>
      <c r="AJ1342" t="n">
        <v>12</v>
      </c>
      <c r="AK1342" t="n">
        <v>12</v>
      </c>
      <c r="AL1342" t="n">
        <v>3</v>
      </c>
      <c r="AM1342" t="n">
        <v>3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Yes</t>
        </is>
      </c>
      <c r="AR1342">
        <f>HYPERLINK("http://catalog.hathitrust.org/Record/000196534","HathiTrust Record")</f>
        <v/>
      </c>
      <c r="AS1342">
        <f>HYPERLINK("https://creighton-primo.hosted.exlibrisgroup.com/primo-explore/search?tab=default_tab&amp;search_scope=EVERYTHING&amp;vid=01CRU&amp;lang=en_US&amp;offset=0&amp;query=any,contains,991000165539702656","Catalog Record")</f>
        <v/>
      </c>
      <c r="AT1342">
        <f>HYPERLINK("http://www.worldcat.org/oclc/9282916","WorldCat Record")</f>
        <v/>
      </c>
      <c r="AU1342" t="inlineStr">
        <is>
          <t>43134023:eng</t>
        </is>
      </c>
      <c r="AV1342" t="inlineStr">
        <is>
          <t>9282916</t>
        </is>
      </c>
      <c r="AW1342" t="inlineStr">
        <is>
          <t>991000165539702656</t>
        </is>
      </c>
      <c r="AX1342" t="inlineStr">
        <is>
          <t>991000165539702656</t>
        </is>
      </c>
      <c r="AY1342" t="inlineStr">
        <is>
          <t>2259750950002656</t>
        </is>
      </c>
      <c r="AZ1342" t="inlineStr">
        <is>
          <t>BOOK</t>
        </is>
      </c>
      <c r="BB1342" t="inlineStr">
        <is>
          <t>9780124017627</t>
        </is>
      </c>
      <c r="BC1342" t="inlineStr">
        <is>
          <t>32285000246560</t>
        </is>
      </c>
      <c r="BD1342" t="inlineStr">
        <is>
          <t>893796486</t>
        </is>
      </c>
    </row>
    <row r="1343">
      <c r="A1343" t="inlineStr">
        <is>
          <t>No</t>
        </is>
      </c>
      <c r="B1343" t="inlineStr">
        <is>
          <t>HV91 .L14 2006</t>
        </is>
      </c>
      <c r="C1343" t="inlineStr">
        <is>
          <t>0                      HV 0091000L  14          2006</t>
        </is>
      </c>
      <c r="D1343" t="inlineStr">
        <is>
          <t>Accountability in social services : the culture of the paper program / Jill Florence Lackey.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Lackey, Jill Florence.</t>
        </is>
      </c>
      <c r="L1343" t="inlineStr">
        <is>
          <t>New York : Haworth Press, c2006.</t>
        </is>
      </c>
      <c r="M1343" t="inlineStr">
        <is>
          <t>2006</t>
        </is>
      </c>
      <c r="O1343" t="inlineStr">
        <is>
          <t>eng</t>
        </is>
      </c>
      <c r="P1343" t="inlineStr">
        <is>
          <t>nyu</t>
        </is>
      </c>
      <c r="Q1343" t="inlineStr">
        <is>
          <t>Haworth health and social policy</t>
        </is>
      </c>
      <c r="R1343" t="inlineStr">
        <is>
          <t xml:space="preserve">HV </t>
        </is>
      </c>
      <c r="S1343" t="n">
        <v>1</v>
      </c>
      <c r="T1343" t="n">
        <v>1</v>
      </c>
      <c r="U1343" t="inlineStr">
        <is>
          <t>2006-10-10</t>
        </is>
      </c>
      <c r="V1343" t="inlineStr">
        <is>
          <t>2006-10-10</t>
        </is>
      </c>
      <c r="W1343" t="inlineStr">
        <is>
          <t>2006-10-10</t>
        </is>
      </c>
      <c r="X1343" t="inlineStr">
        <is>
          <t>2006-10-10</t>
        </is>
      </c>
      <c r="Y1343" t="n">
        <v>190</v>
      </c>
      <c r="Z1343" t="n">
        <v>142</v>
      </c>
      <c r="AA1343" t="n">
        <v>165</v>
      </c>
      <c r="AB1343" t="n">
        <v>4</v>
      </c>
      <c r="AC1343" t="n">
        <v>4</v>
      </c>
      <c r="AD1343" t="n">
        <v>10</v>
      </c>
      <c r="AE1343" t="n">
        <v>10</v>
      </c>
      <c r="AF1343" t="n">
        <v>2</v>
      </c>
      <c r="AG1343" t="n">
        <v>2</v>
      </c>
      <c r="AH1343" t="n">
        <v>2</v>
      </c>
      <c r="AI1343" t="n">
        <v>2</v>
      </c>
      <c r="AJ1343" t="n">
        <v>4</v>
      </c>
      <c r="AK1343" t="n">
        <v>4</v>
      </c>
      <c r="AL1343" t="n">
        <v>3</v>
      </c>
      <c r="AM1343" t="n">
        <v>3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No</t>
        </is>
      </c>
      <c r="AS1343">
        <f>HYPERLINK("https://creighton-primo.hosted.exlibrisgroup.com/primo-explore/search?tab=default_tab&amp;search_scope=EVERYTHING&amp;vid=01CRU&amp;lang=en_US&amp;offset=0&amp;query=any,contains,991004924309702656","Catalog Record")</f>
        <v/>
      </c>
      <c r="AT1343">
        <f>HYPERLINK("http://www.worldcat.org/oclc/61351646","WorldCat Record")</f>
        <v/>
      </c>
      <c r="AU1343" t="inlineStr">
        <is>
          <t>1030587290:eng</t>
        </is>
      </c>
      <c r="AV1343" t="inlineStr">
        <is>
          <t>61351646</t>
        </is>
      </c>
      <c r="AW1343" t="inlineStr">
        <is>
          <t>991004924309702656</t>
        </is>
      </c>
      <c r="AX1343" t="inlineStr">
        <is>
          <t>991004924309702656</t>
        </is>
      </c>
      <c r="AY1343" t="inlineStr">
        <is>
          <t>2258836210002656</t>
        </is>
      </c>
      <c r="AZ1343" t="inlineStr">
        <is>
          <t>BOOK</t>
        </is>
      </c>
      <c r="BB1343" t="inlineStr">
        <is>
          <t>9780789023742</t>
        </is>
      </c>
      <c r="BC1343" t="inlineStr">
        <is>
          <t>32285005228415</t>
        </is>
      </c>
      <c r="BD1343" t="inlineStr">
        <is>
          <t>893600368</t>
        </is>
      </c>
    </row>
    <row r="1344">
      <c r="A1344" t="inlineStr">
        <is>
          <t>No</t>
        </is>
      </c>
      <c r="B1344" t="inlineStr">
        <is>
          <t>HV91 .M285</t>
        </is>
      </c>
      <c r="C1344" t="inlineStr">
        <is>
          <t>0                      HV 0091000M  285</t>
        </is>
      </c>
      <c r="D1344" t="inlineStr">
        <is>
          <t>Voluntarism at the crossroads / Gordon Manser and Rosemary Higgins Cass.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K1344" t="inlineStr">
        <is>
          <t>Manser, Gordon.</t>
        </is>
      </c>
      <c r="L1344" t="inlineStr">
        <is>
          <t>New York : Family Service Association of America, c1976.</t>
        </is>
      </c>
      <c r="M1344" t="inlineStr">
        <is>
          <t>1976</t>
        </is>
      </c>
      <c r="O1344" t="inlineStr">
        <is>
          <t>eng</t>
        </is>
      </c>
      <c r="P1344" t="inlineStr">
        <is>
          <t>nyu</t>
        </is>
      </c>
      <c r="R1344" t="inlineStr">
        <is>
          <t xml:space="preserve">HV </t>
        </is>
      </c>
      <c r="S1344" t="n">
        <v>2</v>
      </c>
      <c r="T1344" t="n">
        <v>2</v>
      </c>
      <c r="U1344" t="inlineStr">
        <is>
          <t>1995-02-20</t>
        </is>
      </c>
      <c r="V1344" t="inlineStr">
        <is>
          <t>1995-02-20</t>
        </is>
      </c>
      <c r="W1344" t="inlineStr">
        <is>
          <t>1992-10-27</t>
        </is>
      </c>
      <c r="X1344" t="inlineStr">
        <is>
          <t>1992-10-27</t>
        </is>
      </c>
      <c r="Y1344" t="n">
        <v>304</v>
      </c>
      <c r="Z1344" t="n">
        <v>258</v>
      </c>
      <c r="AA1344" t="n">
        <v>260</v>
      </c>
      <c r="AB1344" t="n">
        <v>5</v>
      </c>
      <c r="AC1344" t="n">
        <v>5</v>
      </c>
      <c r="AD1344" t="n">
        <v>10</v>
      </c>
      <c r="AE1344" t="n">
        <v>10</v>
      </c>
      <c r="AF1344" t="n">
        <v>1</v>
      </c>
      <c r="AG1344" t="n">
        <v>1</v>
      </c>
      <c r="AH1344" t="n">
        <v>2</v>
      </c>
      <c r="AI1344" t="n">
        <v>2</v>
      </c>
      <c r="AJ1344" t="n">
        <v>4</v>
      </c>
      <c r="AK1344" t="n">
        <v>4</v>
      </c>
      <c r="AL1344" t="n">
        <v>4</v>
      </c>
      <c r="AM1344" t="n">
        <v>4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Yes</t>
        </is>
      </c>
      <c r="AR1344">
        <f>HYPERLINK("http://catalog.hathitrust.org/Record/000720457","HathiTrust Record")</f>
        <v/>
      </c>
      <c r="AS1344">
        <f>HYPERLINK("https://creighton-primo.hosted.exlibrisgroup.com/primo-explore/search?tab=default_tab&amp;search_scope=EVERYTHING&amp;vid=01CRU&amp;lang=en_US&amp;offset=0&amp;query=any,contains,991004062729702656","Catalog Record")</f>
        <v/>
      </c>
      <c r="AT1344">
        <f>HYPERLINK("http://www.worldcat.org/oclc/2276547","WorldCat Record")</f>
        <v/>
      </c>
      <c r="AU1344" t="inlineStr">
        <is>
          <t>4499910:eng</t>
        </is>
      </c>
      <c r="AV1344" t="inlineStr">
        <is>
          <t>2276547</t>
        </is>
      </c>
      <c r="AW1344" t="inlineStr">
        <is>
          <t>991004062729702656</t>
        </is>
      </c>
      <c r="AX1344" t="inlineStr">
        <is>
          <t>991004062729702656</t>
        </is>
      </c>
      <c r="AY1344" t="inlineStr">
        <is>
          <t>2271508750002656</t>
        </is>
      </c>
      <c r="AZ1344" t="inlineStr">
        <is>
          <t>BOOK</t>
        </is>
      </c>
      <c r="BB1344" t="inlineStr">
        <is>
          <t>9780873041409</t>
        </is>
      </c>
      <c r="BC1344" t="inlineStr">
        <is>
          <t>32285001385409</t>
        </is>
      </c>
      <c r="BD1344" t="inlineStr">
        <is>
          <t>893888272</t>
        </is>
      </c>
    </row>
    <row r="1345">
      <c r="A1345" t="inlineStr">
        <is>
          <t>No</t>
        </is>
      </c>
      <c r="B1345" t="inlineStr">
        <is>
          <t>HV91 .O33 1990</t>
        </is>
      </c>
      <c r="C1345" t="inlineStr">
        <is>
          <t>0                      HV 0091000O  33          1990</t>
        </is>
      </c>
      <c r="D1345" t="inlineStr">
        <is>
          <t>Charity begins at home : generosity and self-interest among the philanthropic elite / Teresa Odendahl.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K1345" t="inlineStr">
        <is>
          <t>Odendahl, Teresa Jean.</t>
        </is>
      </c>
      <c r="L1345" t="inlineStr">
        <is>
          <t>New York : Basic Books, c1990.</t>
        </is>
      </c>
      <c r="M1345" t="inlineStr">
        <is>
          <t>1990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HV </t>
        </is>
      </c>
      <c r="S1345" t="n">
        <v>3</v>
      </c>
      <c r="T1345" t="n">
        <v>3</v>
      </c>
      <c r="U1345" t="inlineStr">
        <is>
          <t>2010-10-01</t>
        </is>
      </c>
      <c r="V1345" t="inlineStr">
        <is>
          <t>2010-10-01</t>
        </is>
      </c>
      <c r="W1345" t="inlineStr">
        <is>
          <t>1991-11-26</t>
        </is>
      </c>
      <c r="X1345" t="inlineStr">
        <is>
          <t>1991-11-26</t>
        </is>
      </c>
      <c r="Y1345" t="n">
        <v>583</v>
      </c>
      <c r="Z1345" t="n">
        <v>531</v>
      </c>
      <c r="AA1345" t="n">
        <v>538</v>
      </c>
      <c r="AB1345" t="n">
        <v>3</v>
      </c>
      <c r="AC1345" t="n">
        <v>3</v>
      </c>
      <c r="AD1345" t="n">
        <v>22</v>
      </c>
      <c r="AE1345" t="n">
        <v>22</v>
      </c>
      <c r="AF1345" t="n">
        <v>5</v>
      </c>
      <c r="AG1345" t="n">
        <v>5</v>
      </c>
      <c r="AH1345" t="n">
        <v>6</v>
      </c>
      <c r="AI1345" t="n">
        <v>6</v>
      </c>
      <c r="AJ1345" t="n">
        <v>14</v>
      </c>
      <c r="AK1345" t="n">
        <v>14</v>
      </c>
      <c r="AL1345" t="n">
        <v>2</v>
      </c>
      <c r="AM1345" t="n">
        <v>2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HYPERLINK("http://catalog.hathitrust.org/Record/001949403","HathiTrust Record")</f>
        <v/>
      </c>
      <c r="AS1345">
        <f>HYPERLINK("https://creighton-primo.hosted.exlibrisgroup.com/primo-explore/search?tab=default_tab&amp;search_scope=EVERYTHING&amp;vid=01CRU&amp;lang=en_US&amp;offset=0&amp;query=any,contains,991001597889702656","Catalog Record")</f>
        <v/>
      </c>
      <c r="AT1345">
        <f>HYPERLINK("http://www.worldcat.org/oclc/20631473","WorldCat Record")</f>
        <v/>
      </c>
      <c r="AU1345" t="inlineStr">
        <is>
          <t>203425668:eng</t>
        </is>
      </c>
      <c r="AV1345" t="inlineStr">
        <is>
          <t>20631473</t>
        </is>
      </c>
      <c r="AW1345" t="inlineStr">
        <is>
          <t>991001597889702656</t>
        </is>
      </c>
      <c r="AX1345" t="inlineStr">
        <is>
          <t>991001597889702656</t>
        </is>
      </c>
      <c r="AY1345" t="inlineStr">
        <is>
          <t>2260750940002656</t>
        </is>
      </c>
      <c r="AZ1345" t="inlineStr">
        <is>
          <t>BOOK</t>
        </is>
      </c>
      <c r="BB1345" t="inlineStr">
        <is>
          <t>9780465009626</t>
        </is>
      </c>
      <c r="BC1345" t="inlineStr">
        <is>
          <t>32285000817667</t>
        </is>
      </c>
      <c r="BD1345" t="inlineStr">
        <is>
          <t>893709376</t>
        </is>
      </c>
    </row>
    <row r="1346">
      <c r="A1346" t="inlineStr">
        <is>
          <t>No</t>
        </is>
      </c>
      <c r="B1346" t="inlineStr">
        <is>
          <t>HV91 .P37</t>
        </is>
      </c>
      <c r="C1346" t="inlineStr">
        <is>
          <t>0                      HV 0091000P  37</t>
        </is>
      </c>
      <c r="D1346" t="inlineStr">
        <is>
          <t>Paraprofessionals in the human services / edited by Stanley S. Robin and Morton O. Wagenfeld.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New York : Human Sciences Press, c1981.</t>
        </is>
      </c>
      <c r="M1346" t="inlineStr">
        <is>
          <t>1981</t>
        </is>
      </c>
      <c r="O1346" t="inlineStr">
        <is>
          <t>eng</t>
        </is>
      </c>
      <c r="P1346" t="inlineStr">
        <is>
          <t>nyu</t>
        </is>
      </c>
      <c r="Q1346" t="inlineStr">
        <is>
          <t>Community psychology series ; v. 6</t>
        </is>
      </c>
      <c r="R1346" t="inlineStr">
        <is>
          <t xml:space="preserve">HV </t>
        </is>
      </c>
      <c r="S1346" t="n">
        <v>2</v>
      </c>
      <c r="T1346" t="n">
        <v>2</v>
      </c>
      <c r="U1346" t="inlineStr">
        <is>
          <t>1992-11-17</t>
        </is>
      </c>
      <c r="V1346" t="inlineStr">
        <is>
          <t>1992-11-17</t>
        </is>
      </c>
      <c r="W1346" t="inlineStr">
        <is>
          <t>1990-07-20</t>
        </is>
      </c>
      <c r="X1346" t="inlineStr">
        <is>
          <t>1990-07-20</t>
        </is>
      </c>
      <c r="Y1346" t="n">
        <v>286</v>
      </c>
      <c r="Z1346" t="n">
        <v>252</v>
      </c>
      <c r="AA1346" t="n">
        <v>262</v>
      </c>
      <c r="AB1346" t="n">
        <v>3</v>
      </c>
      <c r="AC1346" t="n">
        <v>3</v>
      </c>
      <c r="AD1346" t="n">
        <v>14</v>
      </c>
      <c r="AE1346" t="n">
        <v>14</v>
      </c>
      <c r="AF1346" t="n">
        <v>5</v>
      </c>
      <c r="AG1346" t="n">
        <v>5</v>
      </c>
      <c r="AH1346" t="n">
        <v>4</v>
      </c>
      <c r="AI1346" t="n">
        <v>4</v>
      </c>
      <c r="AJ1346" t="n">
        <v>8</v>
      </c>
      <c r="AK1346" t="n">
        <v>8</v>
      </c>
      <c r="AL1346" t="n">
        <v>2</v>
      </c>
      <c r="AM1346" t="n">
        <v>2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HYPERLINK("http://catalog.hathitrust.org/Record/000393653","HathiTrust Record")</f>
        <v/>
      </c>
      <c r="AS1346">
        <f>HYPERLINK("https://creighton-primo.hosted.exlibrisgroup.com/primo-explore/search?tab=default_tab&amp;search_scope=EVERYTHING&amp;vid=01CRU&amp;lang=en_US&amp;offset=0&amp;query=any,contains,991004984889702656","Catalog Record")</f>
        <v/>
      </c>
      <c r="AT1346">
        <f>HYPERLINK("http://www.worldcat.org/oclc/6447115","WorldCat Record")</f>
        <v/>
      </c>
      <c r="AU1346" t="inlineStr">
        <is>
          <t>427005167:eng</t>
        </is>
      </c>
      <c r="AV1346" t="inlineStr">
        <is>
          <t>6447115</t>
        </is>
      </c>
      <c r="AW1346" t="inlineStr">
        <is>
          <t>991004984889702656</t>
        </is>
      </c>
      <c r="AX1346" t="inlineStr">
        <is>
          <t>991004984889702656</t>
        </is>
      </c>
      <c r="AY1346" t="inlineStr">
        <is>
          <t>2255618040002656</t>
        </is>
      </c>
      <c r="AZ1346" t="inlineStr">
        <is>
          <t>BOOK</t>
        </is>
      </c>
      <c r="BB1346" t="inlineStr">
        <is>
          <t>9780877054900</t>
        </is>
      </c>
      <c r="BC1346" t="inlineStr">
        <is>
          <t>32285000246594</t>
        </is>
      </c>
      <c r="BD1346" t="inlineStr">
        <is>
          <t>893326014</t>
        </is>
      </c>
    </row>
    <row r="1347">
      <c r="A1347" t="inlineStr">
        <is>
          <t>No</t>
        </is>
      </c>
      <c r="B1347" t="inlineStr">
        <is>
          <t>HV91 .P38 1998</t>
        </is>
      </c>
      <c r="C1347" t="inlineStr">
        <is>
          <t>0                      HV 0091000P  38          1998</t>
        </is>
      </c>
      <c r="D1347" t="inlineStr">
        <is>
          <t>Overcoming welfare : expecting more from the poor--and from ourselves / James L. Payne.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Payne, James L.</t>
        </is>
      </c>
      <c r="L1347" t="inlineStr">
        <is>
          <t>New York : Basic Books, c1998.</t>
        </is>
      </c>
      <c r="M1347" t="inlineStr">
        <is>
          <t>1998</t>
        </is>
      </c>
      <c r="N1347" t="inlineStr">
        <is>
          <t>1st ed.</t>
        </is>
      </c>
      <c r="O1347" t="inlineStr">
        <is>
          <t>eng</t>
        </is>
      </c>
      <c r="P1347" t="inlineStr">
        <is>
          <t>nyu</t>
        </is>
      </c>
      <c r="R1347" t="inlineStr">
        <is>
          <t xml:space="preserve">HV </t>
        </is>
      </c>
      <c r="S1347" t="n">
        <v>2</v>
      </c>
      <c r="T1347" t="n">
        <v>2</v>
      </c>
      <c r="U1347" t="inlineStr">
        <is>
          <t>2002-12-04</t>
        </is>
      </c>
      <c r="V1347" t="inlineStr">
        <is>
          <t>2002-12-04</t>
        </is>
      </c>
      <c r="W1347" t="inlineStr">
        <is>
          <t>1998-07-16</t>
        </is>
      </c>
      <c r="X1347" t="inlineStr">
        <is>
          <t>1998-07-16</t>
        </is>
      </c>
      <c r="Y1347" t="n">
        <v>532</v>
      </c>
      <c r="Z1347" t="n">
        <v>498</v>
      </c>
      <c r="AA1347" t="n">
        <v>505</v>
      </c>
      <c r="AB1347" t="n">
        <v>4</v>
      </c>
      <c r="AC1347" t="n">
        <v>4</v>
      </c>
      <c r="AD1347" t="n">
        <v>19</v>
      </c>
      <c r="AE1347" t="n">
        <v>19</v>
      </c>
      <c r="AF1347" t="n">
        <v>5</v>
      </c>
      <c r="AG1347" t="n">
        <v>5</v>
      </c>
      <c r="AH1347" t="n">
        <v>6</v>
      </c>
      <c r="AI1347" t="n">
        <v>6</v>
      </c>
      <c r="AJ1347" t="n">
        <v>9</v>
      </c>
      <c r="AK1347" t="n">
        <v>9</v>
      </c>
      <c r="AL1347" t="n">
        <v>3</v>
      </c>
      <c r="AM1347" t="n">
        <v>3</v>
      </c>
      <c r="AN1347" t="n">
        <v>1</v>
      </c>
      <c r="AO1347" t="n">
        <v>1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HYPERLINK("http://catalog.hathitrust.org/Record/003977837","HathiTrust Record")</f>
        <v/>
      </c>
      <c r="AS1347">
        <f>HYPERLINK("https://creighton-primo.hosted.exlibrisgroup.com/primo-explore/search?tab=default_tab&amp;search_scope=EVERYTHING&amp;vid=01CRU&amp;lang=en_US&amp;offset=0&amp;query=any,contains,991002903839702656","Catalog Record")</f>
        <v/>
      </c>
      <c r="AT1347">
        <f>HYPERLINK("http://www.worldcat.org/oclc/38295157","WorldCat Record")</f>
        <v/>
      </c>
      <c r="AU1347" t="inlineStr">
        <is>
          <t>340397013:eng</t>
        </is>
      </c>
      <c r="AV1347" t="inlineStr">
        <is>
          <t>38295157</t>
        </is>
      </c>
      <c r="AW1347" t="inlineStr">
        <is>
          <t>991002903839702656</t>
        </is>
      </c>
      <c r="AX1347" t="inlineStr">
        <is>
          <t>991002903839702656</t>
        </is>
      </c>
      <c r="AY1347" t="inlineStr">
        <is>
          <t>2263001800002656</t>
        </is>
      </c>
      <c r="AZ1347" t="inlineStr">
        <is>
          <t>BOOK</t>
        </is>
      </c>
      <c r="BB1347" t="inlineStr">
        <is>
          <t>9780465069248</t>
        </is>
      </c>
      <c r="BC1347" t="inlineStr">
        <is>
          <t>32285003432555</t>
        </is>
      </c>
      <c r="BD1347" t="inlineStr">
        <is>
          <t>893498694</t>
        </is>
      </c>
    </row>
    <row r="1348">
      <c r="A1348" t="inlineStr">
        <is>
          <t>No</t>
        </is>
      </c>
      <c r="B1348" t="inlineStr">
        <is>
          <t>HV91 .P68 2005</t>
        </is>
      </c>
      <c r="C1348" t="inlineStr">
        <is>
          <t>0                      HV 0091000P  68          2005</t>
        </is>
      </c>
      <c r="D1348" t="inlineStr">
        <is>
          <t>Social work, social welfare, and American society / Philip R. Popple, Leslie Leighninger.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Popple, Philip R.</t>
        </is>
      </c>
      <c r="L1348" t="inlineStr">
        <is>
          <t>Boston : Pearson/Allyn and Bacon, c2005.</t>
        </is>
      </c>
      <c r="M1348" t="inlineStr">
        <is>
          <t>2005</t>
        </is>
      </c>
      <c r="N1348" t="inlineStr">
        <is>
          <t>6th ed.</t>
        </is>
      </c>
      <c r="O1348" t="inlineStr">
        <is>
          <t>eng</t>
        </is>
      </c>
      <c r="P1348" t="inlineStr">
        <is>
          <t>mau</t>
        </is>
      </c>
      <c r="R1348" t="inlineStr">
        <is>
          <t xml:space="preserve">HV </t>
        </is>
      </c>
      <c r="S1348" t="n">
        <v>1</v>
      </c>
      <c r="T1348" t="n">
        <v>1</v>
      </c>
      <c r="U1348" t="inlineStr">
        <is>
          <t>2005-09-22</t>
        </is>
      </c>
      <c r="V1348" t="inlineStr">
        <is>
          <t>2005-09-22</t>
        </is>
      </c>
      <c r="W1348" t="inlineStr">
        <is>
          <t>2005-01-19</t>
        </is>
      </c>
      <c r="X1348" t="inlineStr">
        <is>
          <t>2005-01-19</t>
        </is>
      </c>
      <c r="Y1348" t="n">
        <v>98</v>
      </c>
      <c r="Z1348" t="n">
        <v>88</v>
      </c>
      <c r="AA1348" t="n">
        <v>422</v>
      </c>
      <c r="AB1348" t="n">
        <v>1</v>
      </c>
      <c r="AC1348" t="n">
        <v>2</v>
      </c>
      <c r="AD1348" t="n">
        <v>2</v>
      </c>
      <c r="AE1348" t="n">
        <v>10</v>
      </c>
      <c r="AF1348" t="n">
        <v>0</v>
      </c>
      <c r="AG1348" t="n">
        <v>2</v>
      </c>
      <c r="AH1348" t="n">
        <v>1</v>
      </c>
      <c r="AI1348" t="n">
        <v>2</v>
      </c>
      <c r="AJ1348" t="n">
        <v>2</v>
      </c>
      <c r="AK1348" t="n">
        <v>7</v>
      </c>
      <c r="AL1348" t="n">
        <v>0</v>
      </c>
      <c r="AM1348" t="n">
        <v>1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Yes</t>
        </is>
      </c>
      <c r="AR1348">
        <f>HYPERLINK("http://catalog.hathitrust.org/Record/004945255","HathiTrust Record")</f>
        <v/>
      </c>
      <c r="AS1348">
        <f>HYPERLINK("https://creighton-primo.hosted.exlibrisgroup.com/primo-explore/search?tab=default_tab&amp;search_scope=EVERYTHING&amp;vid=01CRU&amp;lang=en_US&amp;offset=0&amp;query=any,contains,991004424259702656","Catalog Record")</f>
        <v/>
      </c>
      <c r="AT1348">
        <f>HYPERLINK("http://www.worldcat.org/oclc/56198580","WorldCat Record")</f>
        <v/>
      </c>
      <c r="AU1348" t="inlineStr">
        <is>
          <t>6362066:eng</t>
        </is>
      </c>
      <c r="AV1348" t="inlineStr">
        <is>
          <t>56198580</t>
        </is>
      </c>
      <c r="AW1348" t="inlineStr">
        <is>
          <t>991004424259702656</t>
        </is>
      </c>
      <c r="AX1348" t="inlineStr">
        <is>
          <t>991004424259702656</t>
        </is>
      </c>
      <c r="AY1348" t="inlineStr">
        <is>
          <t>2272573150002656</t>
        </is>
      </c>
      <c r="AZ1348" t="inlineStr">
        <is>
          <t>BOOK</t>
        </is>
      </c>
      <c r="BB1348" t="inlineStr">
        <is>
          <t>9780205401819</t>
        </is>
      </c>
      <c r="BC1348" t="inlineStr">
        <is>
          <t>32285005022016</t>
        </is>
      </c>
      <c r="BD1348" t="inlineStr">
        <is>
          <t>893506835</t>
        </is>
      </c>
    </row>
    <row r="1349">
      <c r="A1349" t="inlineStr">
        <is>
          <t>No</t>
        </is>
      </c>
      <c r="B1349" t="inlineStr">
        <is>
          <t>HV91 .P734 1999</t>
        </is>
      </c>
      <c r="C1349" t="inlineStr">
        <is>
          <t>0                      HV 0091000P  734         1999</t>
        </is>
      </c>
      <c r="D1349" t="inlineStr">
        <is>
          <t>Preserving and strengthening small towns and rural communities / Iris B. Carlton-LaNey, Richard L. Edwards, and P. Nelson Reid, editors.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L1349" t="inlineStr">
        <is>
          <t>Washington, D.C. : NASW Press, c1999.</t>
        </is>
      </c>
      <c r="M1349" t="inlineStr">
        <is>
          <t>1999</t>
        </is>
      </c>
      <c r="O1349" t="inlineStr">
        <is>
          <t>eng</t>
        </is>
      </c>
      <c r="P1349" t="inlineStr">
        <is>
          <t>dcu</t>
        </is>
      </c>
      <c r="R1349" t="inlineStr">
        <is>
          <t xml:space="preserve">HV </t>
        </is>
      </c>
      <c r="S1349" t="n">
        <v>1</v>
      </c>
      <c r="T1349" t="n">
        <v>1</v>
      </c>
      <c r="U1349" t="inlineStr">
        <is>
          <t>2003-03-19</t>
        </is>
      </c>
      <c r="V1349" t="inlineStr">
        <is>
          <t>2003-03-19</t>
        </is>
      </c>
      <c r="W1349" t="inlineStr">
        <is>
          <t>2003-03-19</t>
        </is>
      </c>
      <c r="X1349" t="inlineStr">
        <is>
          <t>2003-03-19</t>
        </is>
      </c>
      <c r="Y1349" t="n">
        <v>390</v>
      </c>
      <c r="Z1349" t="n">
        <v>349</v>
      </c>
      <c r="AA1349" t="n">
        <v>356</v>
      </c>
      <c r="AB1349" t="n">
        <v>5</v>
      </c>
      <c r="AC1349" t="n">
        <v>5</v>
      </c>
      <c r="AD1349" t="n">
        <v>14</v>
      </c>
      <c r="AE1349" t="n">
        <v>14</v>
      </c>
      <c r="AF1349" t="n">
        <v>4</v>
      </c>
      <c r="AG1349" t="n">
        <v>4</v>
      </c>
      <c r="AH1349" t="n">
        <v>2</v>
      </c>
      <c r="AI1349" t="n">
        <v>2</v>
      </c>
      <c r="AJ1349" t="n">
        <v>6</v>
      </c>
      <c r="AK1349" t="n">
        <v>6</v>
      </c>
      <c r="AL1349" t="n">
        <v>4</v>
      </c>
      <c r="AM1349" t="n">
        <v>4</v>
      </c>
      <c r="AN1349" t="n">
        <v>0</v>
      </c>
      <c r="AO1349" t="n">
        <v>0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HYPERLINK("http://catalog.hathitrust.org/Record/003350375","HathiTrust Record")</f>
        <v/>
      </c>
      <c r="AS1349">
        <f>HYPERLINK("https://creighton-primo.hosted.exlibrisgroup.com/primo-explore/search?tab=default_tab&amp;search_scope=EVERYTHING&amp;vid=01CRU&amp;lang=en_US&amp;offset=0&amp;query=any,contains,991004007649702656","Catalog Record")</f>
        <v/>
      </c>
      <c r="AT1349">
        <f>HYPERLINK("http://www.worldcat.org/oclc/41412041","WorldCat Record")</f>
        <v/>
      </c>
      <c r="AU1349" t="inlineStr">
        <is>
          <t>475787776:eng</t>
        </is>
      </c>
      <c r="AV1349" t="inlineStr">
        <is>
          <t>41412041</t>
        </is>
      </c>
      <c r="AW1349" t="inlineStr">
        <is>
          <t>991004007649702656</t>
        </is>
      </c>
      <c r="AX1349" t="inlineStr">
        <is>
          <t>991004007649702656</t>
        </is>
      </c>
      <c r="AY1349" t="inlineStr">
        <is>
          <t>2257855450002656</t>
        </is>
      </c>
      <c r="AZ1349" t="inlineStr">
        <is>
          <t>BOOK</t>
        </is>
      </c>
      <c r="BB1349" t="inlineStr">
        <is>
          <t>9780871013101</t>
        </is>
      </c>
      <c r="BC1349" t="inlineStr">
        <is>
          <t>32285004684873</t>
        </is>
      </c>
      <c r="BD1349" t="inlineStr">
        <is>
          <t>893324817</t>
        </is>
      </c>
    </row>
    <row r="1350">
      <c r="A1350" t="inlineStr">
        <is>
          <t>No</t>
        </is>
      </c>
      <c r="B1350" t="inlineStr">
        <is>
          <t>HV91 .R36 1994</t>
        </is>
      </c>
      <c r="C1350" t="inlineStr">
        <is>
          <t>0                      HV 0091000R  36          1994</t>
        </is>
      </c>
      <c r="D1350" t="inlineStr">
        <is>
          <t>Living on the edge : the realities of welfare in America / Mark Robert Rank.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K1350" t="inlineStr">
        <is>
          <t>Rank, Mark R.</t>
        </is>
      </c>
      <c r="L1350" t="inlineStr">
        <is>
          <t>New York : Columbia University Press, c1994.</t>
        </is>
      </c>
      <c r="M1350" t="inlineStr">
        <is>
          <t>1994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HV </t>
        </is>
      </c>
      <c r="S1350" t="n">
        <v>16</v>
      </c>
      <c r="T1350" t="n">
        <v>16</v>
      </c>
      <c r="U1350" t="inlineStr">
        <is>
          <t>2007-10-12</t>
        </is>
      </c>
      <c r="V1350" t="inlineStr">
        <is>
          <t>2007-10-12</t>
        </is>
      </c>
      <c r="W1350" t="inlineStr">
        <is>
          <t>1996-03-19</t>
        </is>
      </c>
      <c r="X1350" t="inlineStr">
        <is>
          <t>1996-03-19</t>
        </is>
      </c>
      <c r="Y1350" t="n">
        <v>1248</v>
      </c>
      <c r="Z1350" t="n">
        <v>1147</v>
      </c>
      <c r="AA1350" t="n">
        <v>1274</v>
      </c>
      <c r="AB1350" t="n">
        <v>9</v>
      </c>
      <c r="AC1350" t="n">
        <v>9</v>
      </c>
      <c r="AD1350" t="n">
        <v>44</v>
      </c>
      <c r="AE1350" t="n">
        <v>48</v>
      </c>
      <c r="AF1350" t="n">
        <v>15</v>
      </c>
      <c r="AG1350" t="n">
        <v>19</v>
      </c>
      <c r="AH1350" t="n">
        <v>9</v>
      </c>
      <c r="AI1350" t="n">
        <v>10</v>
      </c>
      <c r="AJ1350" t="n">
        <v>17</v>
      </c>
      <c r="AK1350" t="n">
        <v>18</v>
      </c>
      <c r="AL1350" t="n">
        <v>7</v>
      </c>
      <c r="AM1350" t="n">
        <v>7</v>
      </c>
      <c r="AN1350" t="n">
        <v>3</v>
      </c>
      <c r="AO1350" t="n">
        <v>3</v>
      </c>
      <c r="AP1350" t="inlineStr">
        <is>
          <t>No</t>
        </is>
      </c>
      <c r="AQ1350" t="inlineStr">
        <is>
          <t>No</t>
        </is>
      </c>
      <c r="AS1350">
        <f>HYPERLINK("https://creighton-primo.hosted.exlibrisgroup.com/primo-explore/search?tab=default_tab&amp;search_scope=EVERYTHING&amp;vid=01CRU&amp;lang=en_US&amp;offset=0&amp;query=any,contains,991002195189702656","Catalog Record")</f>
        <v/>
      </c>
      <c r="AT1350">
        <f>HYPERLINK("http://www.worldcat.org/oclc/28221561","WorldCat Record")</f>
        <v/>
      </c>
      <c r="AU1350" t="inlineStr">
        <is>
          <t>991436:eng</t>
        </is>
      </c>
      <c r="AV1350" t="inlineStr">
        <is>
          <t>28221561</t>
        </is>
      </c>
      <c r="AW1350" t="inlineStr">
        <is>
          <t>991002195189702656</t>
        </is>
      </c>
      <c r="AX1350" t="inlineStr">
        <is>
          <t>991002195189702656</t>
        </is>
      </c>
      <c r="AY1350" t="inlineStr">
        <is>
          <t>2261603970002656</t>
        </is>
      </c>
      <c r="AZ1350" t="inlineStr">
        <is>
          <t>BOOK</t>
        </is>
      </c>
      <c r="BB1350" t="inlineStr">
        <is>
          <t>9780231084246</t>
        </is>
      </c>
      <c r="BC1350" t="inlineStr">
        <is>
          <t>32285002144888</t>
        </is>
      </c>
      <c r="BD1350" t="inlineStr">
        <is>
          <t>893504112</t>
        </is>
      </c>
    </row>
    <row r="1351">
      <c r="A1351" t="inlineStr">
        <is>
          <t>No</t>
        </is>
      </c>
      <c r="B1351" t="inlineStr">
        <is>
          <t>HV91 .R363 2004</t>
        </is>
      </c>
      <c r="C1351" t="inlineStr">
        <is>
          <t>0                      HV 0091000R  363         2004</t>
        </is>
      </c>
      <c r="D1351" t="inlineStr">
        <is>
          <t>One nation, underprivileged : why American poverty affects us all / Mark Robert Rank.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Rank, Mark R.</t>
        </is>
      </c>
      <c r="L1351" t="inlineStr">
        <is>
          <t>Oxford ; New York : Oxford University Press, 2004.</t>
        </is>
      </c>
      <c r="M1351" t="inlineStr">
        <is>
          <t>2004</t>
        </is>
      </c>
      <c r="O1351" t="inlineStr">
        <is>
          <t>eng</t>
        </is>
      </c>
      <c r="P1351" t="inlineStr">
        <is>
          <t>enk</t>
        </is>
      </c>
      <c r="R1351" t="inlineStr">
        <is>
          <t xml:space="preserve">HV </t>
        </is>
      </c>
      <c r="S1351" t="n">
        <v>8</v>
      </c>
      <c r="T1351" t="n">
        <v>8</v>
      </c>
      <c r="U1351" t="inlineStr">
        <is>
          <t>2007-11-26</t>
        </is>
      </c>
      <c r="V1351" t="inlineStr">
        <is>
          <t>2007-11-26</t>
        </is>
      </c>
      <c r="W1351" t="inlineStr">
        <is>
          <t>2004-07-11</t>
        </is>
      </c>
      <c r="X1351" t="inlineStr">
        <is>
          <t>2004-07-11</t>
        </is>
      </c>
      <c r="Y1351" t="n">
        <v>912</v>
      </c>
      <c r="Z1351" t="n">
        <v>863</v>
      </c>
      <c r="AA1351" t="n">
        <v>1682</v>
      </c>
      <c r="AB1351" t="n">
        <v>8</v>
      </c>
      <c r="AC1351" t="n">
        <v>35</v>
      </c>
      <c r="AD1351" t="n">
        <v>34</v>
      </c>
      <c r="AE1351" t="n">
        <v>62</v>
      </c>
      <c r="AF1351" t="n">
        <v>12</v>
      </c>
      <c r="AG1351" t="n">
        <v>21</v>
      </c>
      <c r="AH1351" t="n">
        <v>6</v>
      </c>
      <c r="AI1351" t="n">
        <v>11</v>
      </c>
      <c r="AJ1351" t="n">
        <v>16</v>
      </c>
      <c r="AK1351" t="n">
        <v>22</v>
      </c>
      <c r="AL1351" t="n">
        <v>6</v>
      </c>
      <c r="AM1351" t="n">
        <v>16</v>
      </c>
      <c r="AN1351" t="n">
        <v>1</v>
      </c>
      <c r="AO1351" t="n">
        <v>3</v>
      </c>
      <c r="AP1351" t="inlineStr">
        <is>
          <t>No</t>
        </is>
      </c>
      <c r="AQ1351" t="inlineStr">
        <is>
          <t>No</t>
        </is>
      </c>
      <c r="AS1351">
        <f>HYPERLINK("https://creighton-primo.hosted.exlibrisgroup.com/primo-explore/search?tab=default_tab&amp;search_scope=EVERYTHING&amp;vid=01CRU&amp;lang=en_US&amp;offset=0&amp;query=any,contains,991004304519702656","Catalog Record")</f>
        <v/>
      </c>
      <c r="AT1351">
        <f>HYPERLINK("http://www.worldcat.org/oclc/52334871","WorldCat Record")</f>
        <v/>
      </c>
      <c r="AU1351" t="inlineStr">
        <is>
          <t>793951442:eng</t>
        </is>
      </c>
      <c r="AV1351" t="inlineStr">
        <is>
          <t>52334871</t>
        </is>
      </c>
      <c r="AW1351" t="inlineStr">
        <is>
          <t>991004304519702656</t>
        </is>
      </c>
      <c r="AX1351" t="inlineStr">
        <is>
          <t>991004304519702656</t>
        </is>
      </c>
      <c r="AY1351" t="inlineStr">
        <is>
          <t>2256678620002656</t>
        </is>
      </c>
      <c r="AZ1351" t="inlineStr">
        <is>
          <t>BOOK</t>
        </is>
      </c>
      <c r="BB1351" t="inlineStr">
        <is>
          <t>9780195101683</t>
        </is>
      </c>
      <c r="BC1351" t="inlineStr">
        <is>
          <t>32285004922893</t>
        </is>
      </c>
      <c r="BD1351" t="inlineStr">
        <is>
          <t>893319042</t>
        </is>
      </c>
    </row>
    <row r="1352">
      <c r="A1352" t="inlineStr">
        <is>
          <t>No</t>
        </is>
      </c>
      <c r="B1352" t="inlineStr">
        <is>
          <t>HV91 .R46</t>
        </is>
      </c>
      <c r="C1352" t="inlineStr">
        <is>
          <t>0                      HV 0091000R  46</t>
        </is>
      </c>
      <c r="D1352" t="inlineStr">
        <is>
          <t>Welfare : the social issues in philosophical perspective.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Rescher, Nicholas.</t>
        </is>
      </c>
      <c r="L1352" t="inlineStr">
        <is>
          <t>[Pittsburgh] University of Pittsburgh Press [1972]</t>
        </is>
      </c>
      <c r="M1352" t="inlineStr">
        <is>
          <t>1972</t>
        </is>
      </c>
      <c r="O1352" t="inlineStr">
        <is>
          <t>eng</t>
        </is>
      </c>
      <c r="P1352" t="inlineStr">
        <is>
          <t>pau</t>
        </is>
      </c>
      <c r="R1352" t="inlineStr">
        <is>
          <t xml:space="preserve">HV </t>
        </is>
      </c>
      <c r="S1352" t="n">
        <v>5</v>
      </c>
      <c r="T1352" t="n">
        <v>5</v>
      </c>
      <c r="U1352" t="inlineStr">
        <is>
          <t>2007-10-12</t>
        </is>
      </c>
      <c r="V1352" t="inlineStr">
        <is>
          <t>2007-10-12</t>
        </is>
      </c>
      <c r="W1352" t="inlineStr">
        <is>
          <t>1997-03-05</t>
        </is>
      </c>
      <c r="X1352" t="inlineStr">
        <is>
          <t>1997-03-05</t>
        </is>
      </c>
      <c r="Y1352" t="n">
        <v>750</v>
      </c>
      <c r="Z1352" t="n">
        <v>623</v>
      </c>
      <c r="AA1352" t="n">
        <v>654</v>
      </c>
      <c r="AB1352" t="n">
        <v>8</v>
      </c>
      <c r="AC1352" t="n">
        <v>8</v>
      </c>
      <c r="AD1352" t="n">
        <v>32</v>
      </c>
      <c r="AE1352" t="n">
        <v>33</v>
      </c>
      <c r="AF1352" t="n">
        <v>11</v>
      </c>
      <c r="AG1352" t="n">
        <v>11</v>
      </c>
      <c r="AH1352" t="n">
        <v>5</v>
      </c>
      <c r="AI1352" t="n">
        <v>6</v>
      </c>
      <c r="AJ1352" t="n">
        <v>16</v>
      </c>
      <c r="AK1352" t="n">
        <v>16</v>
      </c>
      <c r="AL1352" t="n">
        <v>5</v>
      </c>
      <c r="AM1352" t="n">
        <v>5</v>
      </c>
      <c r="AN1352" t="n">
        <v>2</v>
      </c>
      <c r="AO1352" t="n">
        <v>2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HYPERLINK("http://catalog.hathitrust.org/Record/001131821","HathiTrust Record")</f>
        <v/>
      </c>
      <c r="AS1352">
        <f>HYPERLINK("https://creighton-primo.hosted.exlibrisgroup.com/primo-explore/search?tab=default_tab&amp;search_scope=EVERYTHING&amp;vid=01CRU&amp;lang=en_US&amp;offset=0&amp;query=any,contains,991002107609702656","Catalog Record")</f>
        <v/>
      </c>
      <c r="AT1352">
        <f>HYPERLINK("http://www.worldcat.org/oclc/266713","WorldCat Record")</f>
        <v/>
      </c>
      <c r="AU1352" t="inlineStr">
        <is>
          <t>483715781:eng</t>
        </is>
      </c>
      <c r="AV1352" t="inlineStr">
        <is>
          <t>266713</t>
        </is>
      </c>
      <c r="AW1352" t="inlineStr">
        <is>
          <t>991002107609702656</t>
        </is>
      </c>
      <c r="AX1352" t="inlineStr">
        <is>
          <t>991002107609702656</t>
        </is>
      </c>
      <c r="AY1352" t="inlineStr">
        <is>
          <t>2269207790002656</t>
        </is>
      </c>
      <c r="AZ1352" t="inlineStr">
        <is>
          <t>BOOK</t>
        </is>
      </c>
      <c r="BB1352" t="inlineStr">
        <is>
          <t>9780822932338</t>
        </is>
      </c>
      <c r="BC1352" t="inlineStr">
        <is>
          <t>32285002464344</t>
        </is>
      </c>
      <c r="BD1352" t="inlineStr">
        <is>
          <t>893352158</t>
        </is>
      </c>
    </row>
    <row r="1353">
      <c r="A1353" t="inlineStr">
        <is>
          <t>No</t>
        </is>
      </c>
      <c r="B1353" t="inlineStr">
        <is>
          <t>HV91 .R727 1980</t>
        </is>
      </c>
      <c r="C1353" t="inlineStr">
        <is>
          <t>0                      HV 0091000R  727         1980</t>
        </is>
      </c>
      <c r="D1353" t="inlineStr">
        <is>
          <t>Conscience and convenience : the asylum and its alternatives in progressive America / David J. Rothman.</t>
        </is>
      </c>
      <c r="F1353" t="inlineStr">
        <is>
          <t>No</t>
        </is>
      </c>
      <c r="G1353" t="inlineStr">
        <is>
          <t>1</t>
        </is>
      </c>
      <c r="H1353" t="inlineStr">
        <is>
          <t>Yes</t>
        </is>
      </c>
      <c r="I1353" t="inlineStr">
        <is>
          <t>No</t>
        </is>
      </c>
      <c r="J1353" t="inlineStr">
        <is>
          <t>0</t>
        </is>
      </c>
      <c r="K1353" t="inlineStr">
        <is>
          <t>Rothman, David J.</t>
        </is>
      </c>
      <c r="L1353" t="inlineStr">
        <is>
          <t>Boston : Little, Brown, c1980.</t>
        </is>
      </c>
      <c r="M1353" t="inlineStr">
        <is>
          <t>1980</t>
        </is>
      </c>
      <c r="N1353" t="inlineStr">
        <is>
          <t>1st ed.</t>
        </is>
      </c>
      <c r="O1353" t="inlineStr">
        <is>
          <t>eng</t>
        </is>
      </c>
      <c r="P1353" t="inlineStr">
        <is>
          <t>mau</t>
        </is>
      </c>
      <c r="R1353" t="inlineStr">
        <is>
          <t xml:space="preserve">HV </t>
        </is>
      </c>
      <c r="S1353" t="n">
        <v>9</v>
      </c>
      <c r="T1353" t="n">
        <v>9</v>
      </c>
      <c r="U1353" t="inlineStr">
        <is>
          <t>1999-02-17</t>
        </is>
      </c>
      <c r="V1353" t="inlineStr">
        <is>
          <t>1999-02-17</t>
        </is>
      </c>
      <c r="W1353" t="inlineStr">
        <is>
          <t>1990-07-20</t>
        </is>
      </c>
      <c r="X1353" t="inlineStr">
        <is>
          <t>2006-05-15</t>
        </is>
      </c>
      <c r="Y1353" t="n">
        <v>1124</v>
      </c>
      <c r="Z1353" t="n">
        <v>1011</v>
      </c>
      <c r="AA1353" t="n">
        <v>1455</v>
      </c>
      <c r="AB1353" t="n">
        <v>7</v>
      </c>
      <c r="AC1353" t="n">
        <v>7</v>
      </c>
      <c r="AD1353" t="n">
        <v>46</v>
      </c>
      <c r="AE1353" t="n">
        <v>54</v>
      </c>
      <c r="AF1353" t="n">
        <v>11</v>
      </c>
      <c r="AG1353" t="n">
        <v>18</v>
      </c>
      <c r="AH1353" t="n">
        <v>9</v>
      </c>
      <c r="AI1353" t="n">
        <v>9</v>
      </c>
      <c r="AJ1353" t="n">
        <v>16</v>
      </c>
      <c r="AK1353" t="n">
        <v>20</v>
      </c>
      <c r="AL1353" t="n">
        <v>5</v>
      </c>
      <c r="AM1353" t="n">
        <v>5</v>
      </c>
      <c r="AN1353" t="n">
        <v>13</v>
      </c>
      <c r="AO1353" t="n">
        <v>13</v>
      </c>
      <c r="AP1353" t="inlineStr">
        <is>
          <t>No</t>
        </is>
      </c>
      <c r="AQ1353" t="inlineStr">
        <is>
          <t>No</t>
        </is>
      </c>
      <c r="AS1353">
        <f>HYPERLINK("https://creighton-primo.hosted.exlibrisgroup.com/primo-explore/search?tab=default_tab&amp;search_scope=EVERYTHING&amp;vid=01CRU&amp;lang=en_US&amp;offset=0&amp;query=any,contains,991001666539702656","Catalog Record")</f>
        <v/>
      </c>
      <c r="AT1353">
        <f>HYPERLINK("http://www.worldcat.org/oclc/5674858","WorldCat Record")</f>
        <v/>
      </c>
      <c r="AU1353" t="inlineStr">
        <is>
          <t>800682988:eng</t>
        </is>
      </c>
      <c r="AV1353" t="inlineStr">
        <is>
          <t>5674858</t>
        </is>
      </c>
      <c r="AW1353" t="inlineStr">
        <is>
          <t>991001666539702656</t>
        </is>
      </c>
      <c r="AX1353" t="inlineStr">
        <is>
          <t>991001666539702656</t>
        </is>
      </c>
      <c r="AY1353" t="inlineStr">
        <is>
          <t>2260281870002656</t>
        </is>
      </c>
      <c r="AZ1353" t="inlineStr">
        <is>
          <t>BOOK</t>
        </is>
      </c>
      <c r="BB1353" t="inlineStr">
        <is>
          <t>9780316757744</t>
        </is>
      </c>
      <c r="BC1353" t="inlineStr">
        <is>
          <t>32285000246610</t>
        </is>
      </c>
      <c r="BD1353" t="inlineStr">
        <is>
          <t>893885464</t>
        </is>
      </c>
    </row>
    <row r="1354">
      <c r="A1354" t="inlineStr">
        <is>
          <t>No</t>
        </is>
      </c>
      <c r="B1354" t="inlineStr">
        <is>
          <t>HV91 .R772 1989</t>
        </is>
      </c>
      <c r="C1354" t="inlineStr">
        <is>
          <t>0                      HV 0091000R  772         1989</t>
        </is>
      </c>
      <c r="D1354" t="inlineStr">
        <is>
          <t>Rural poverty : special causes and policy reforms / edited by Harrell R. Rodgers, Jr., and Gregory Weiher ; prepared under the auspices of the Policy Studies Organization.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L1354" t="inlineStr">
        <is>
          <t>New York : Greenwood Press, 1989.</t>
        </is>
      </c>
      <c r="M1354" t="inlineStr">
        <is>
          <t>1989</t>
        </is>
      </c>
      <c r="O1354" t="inlineStr">
        <is>
          <t>eng</t>
        </is>
      </c>
      <c r="P1354" t="inlineStr">
        <is>
          <t>nyu</t>
        </is>
      </c>
      <c r="Q1354" t="inlineStr">
        <is>
          <t>Studies in social welfare policies and programs, 8755-5360 ; no. 12</t>
        </is>
      </c>
      <c r="R1354" t="inlineStr">
        <is>
          <t xml:space="preserve">HV </t>
        </is>
      </c>
      <c r="S1354" t="n">
        <v>6</v>
      </c>
      <c r="T1354" t="n">
        <v>6</v>
      </c>
      <c r="U1354" t="inlineStr">
        <is>
          <t>1998-10-25</t>
        </is>
      </c>
      <c r="V1354" t="inlineStr">
        <is>
          <t>1998-10-25</t>
        </is>
      </c>
      <c r="W1354" t="inlineStr">
        <is>
          <t>1991-02-08</t>
        </is>
      </c>
      <c r="X1354" t="inlineStr">
        <is>
          <t>1991-02-08</t>
        </is>
      </c>
      <c r="Y1354" t="n">
        <v>385</v>
      </c>
      <c r="Z1354" t="n">
        <v>337</v>
      </c>
      <c r="AA1354" t="n">
        <v>338</v>
      </c>
      <c r="AB1354" t="n">
        <v>3</v>
      </c>
      <c r="AC1354" t="n">
        <v>3</v>
      </c>
      <c r="AD1354" t="n">
        <v>16</v>
      </c>
      <c r="AE1354" t="n">
        <v>16</v>
      </c>
      <c r="AF1354" t="n">
        <v>4</v>
      </c>
      <c r="AG1354" t="n">
        <v>4</v>
      </c>
      <c r="AH1354" t="n">
        <v>5</v>
      </c>
      <c r="AI1354" t="n">
        <v>5</v>
      </c>
      <c r="AJ1354" t="n">
        <v>10</v>
      </c>
      <c r="AK1354" t="n">
        <v>10</v>
      </c>
      <c r="AL1354" t="n">
        <v>2</v>
      </c>
      <c r="AM1354" t="n">
        <v>2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No</t>
        </is>
      </c>
      <c r="AS1354">
        <f>HYPERLINK("https://creighton-primo.hosted.exlibrisgroup.com/primo-explore/search?tab=default_tab&amp;search_scope=EVERYTHING&amp;vid=01CRU&amp;lang=en_US&amp;offset=0&amp;query=any,contains,991001436499702656","Catalog Record")</f>
        <v/>
      </c>
      <c r="AT1354">
        <f>HYPERLINK("http://www.worldcat.org/oclc/19130306","WorldCat Record")</f>
        <v/>
      </c>
      <c r="AU1354" t="inlineStr">
        <is>
          <t>836840910:eng</t>
        </is>
      </c>
      <c r="AV1354" t="inlineStr">
        <is>
          <t>19130306</t>
        </is>
      </c>
      <c r="AW1354" t="inlineStr">
        <is>
          <t>991001436499702656</t>
        </is>
      </c>
      <c r="AX1354" t="inlineStr">
        <is>
          <t>991001436499702656</t>
        </is>
      </c>
      <c r="AY1354" t="inlineStr">
        <is>
          <t>2261640300002656</t>
        </is>
      </c>
      <c r="AZ1354" t="inlineStr">
        <is>
          <t>BOOK</t>
        </is>
      </c>
      <c r="BB1354" t="inlineStr">
        <is>
          <t>9780313266300</t>
        </is>
      </c>
      <c r="BC1354" t="inlineStr">
        <is>
          <t>32285000463751</t>
        </is>
      </c>
      <c r="BD1354" t="inlineStr">
        <is>
          <t>893315779</t>
        </is>
      </c>
    </row>
    <row r="1355">
      <c r="A1355" t="inlineStr">
        <is>
          <t>No</t>
        </is>
      </c>
      <c r="B1355" t="inlineStr">
        <is>
          <t>HV91 .S33</t>
        </is>
      </c>
      <c r="C1355" t="inlineStr">
        <is>
          <t>0                      HV 0091000S  33</t>
        </is>
      </c>
      <c r="D1355" t="inlineStr">
        <is>
          <t>Poverty in America : the welfare dilemma / Ralph Segalman, Asoke Basu.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Segalman, Ralph.</t>
        </is>
      </c>
      <c r="L1355" t="inlineStr">
        <is>
          <t>Westport, Conn. : Greenwood Press, c1981.</t>
        </is>
      </c>
      <c r="M1355" t="inlineStr">
        <is>
          <t>1981</t>
        </is>
      </c>
      <c r="O1355" t="inlineStr">
        <is>
          <t>eng</t>
        </is>
      </c>
      <c r="P1355" t="inlineStr">
        <is>
          <t>ctu</t>
        </is>
      </c>
      <c r="Q1355" t="inlineStr">
        <is>
          <t>Contributions in sociology, 0084-9278 ; no. 39</t>
        </is>
      </c>
      <c r="R1355" t="inlineStr">
        <is>
          <t xml:space="preserve">HV </t>
        </is>
      </c>
      <c r="S1355" t="n">
        <v>4</v>
      </c>
      <c r="T1355" t="n">
        <v>4</v>
      </c>
      <c r="U1355" t="inlineStr">
        <is>
          <t>1995-10-23</t>
        </is>
      </c>
      <c r="V1355" t="inlineStr">
        <is>
          <t>1995-10-23</t>
        </is>
      </c>
      <c r="W1355" t="inlineStr">
        <is>
          <t>1990-04-10</t>
        </is>
      </c>
      <c r="X1355" t="inlineStr">
        <is>
          <t>1990-04-10</t>
        </is>
      </c>
      <c r="Y1355" t="n">
        <v>628</v>
      </c>
      <c r="Z1355" t="n">
        <v>542</v>
      </c>
      <c r="AA1355" t="n">
        <v>570</v>
      </c>
      <c r="AB1355" t="n">
        <v>6</v>
      </c>
      <c r="AC1355" t="n">
        <v>6</v>
      </c>
      <c r="AD1355" t="n">
        <v>29</v>
      </c>
      <c r="AE1355" t="n">
        <v>30</v>
      </c>
      <c r="AF1355" t="n">
        <v>9</v>
      </c>
      <c r="AG1355" t="n">
        <v>9</v>
      </c>
      <c r="AH1355" t="n">
        <v>4</v>
      </c>
      <c r="AI1355" t="n">
        <v>5</v>
      </c>
      <c r="AJ1355" t="n">
        <v>13</v>
      </c>
      <c r="AK1355" t="n">
        <v>14</v>
      </c>
      <c r="AL1355" t="n">
        <v>5</v>
      </c>
      <c r="AM1355" t="n">
        <v>5</v>
      </c>
      <c r="AN1355" t="n">
        <v>4</v>
      </c>
      <c r="AO1355" t="n">
        <v>4</v>
      </c>
      <c r="AP1355" t="inlineStr">
        <is>
          <t>No</t>
        </is>
      </c>
      <c r="AQ1355" t="inlineStr">
        <is>
          <t>Yes</t>
        </is>
      </c>
      <c r="AR1355">
        <f>HYPERLINK("http://catalog.hathitrust.org/Record/000266018","HathiTrust Record")</f>
        <v/>
      </c>
      <c r="AS1355">
        <f>HYPERLINK("https://creighton-primo.hosted.exlibrisgroup.com/primo-explore/search?tab=default_tab&amp;search_scope=EVERYTHING&amp;vid=01CRU&amp;lang=en_US&amp;offset=0&amp;query=any,contains,991004878699702656","Catalog Record")</f>
        <v/>
      </c>
      <c r="AT1355">
        <f>HYPERLINK("http://www.worldcat.org/oclc/5800728","WorldCat Record")</f>
        <v/>
      </c>
      <c r="AU1355" t="inlineStr">
        <is>
          <t>445352:eng</t>
        </is>
      </c>
      <c r="AV1355" t="inlineStr">
        <is>
          <t>5800728</t>
        </is>
      </c>
      <c r="AW1355" t="inlineStr">
        <is>
          <t>991004878699702656</t>
        </is>
      </c>
      <c r="AX1355" t="inlineStr">
        <is>
          <t>991004878699702656</t>
        </is>
      </c>
      <c r="AY1355" t="inlineStr">
        <is>
          <t>2263781590002656</t>
        </is>
      </c>
      <c r="AZ1355" t="inlineStr">
        <is>
          <t>BOOK</t>
        </is>
      </c>
      <c r="BB1355" t="inlineStr">
        <is>
          <t>9780313207518</t>
        </is>
      </c>
      <c r="BC1355" t="inlineStr">
        <is>
          <t>32285000120328</t>
        </is>
      </c>
      <c r="BD1355" t="inlineStr">
        <is>
          <t>893776540</t>
        </is>
      </c>
    </row>
    <row r="1356">
      <c r="A1356" t="inlineStr">
        <is>
          <t>No</t>
        </is>
      </c>
      <c r="B1356" t="inlineStr">
        <is>
          <t>HV91 .S625 1998</t>
        </is>
      </c>
      <c r="C1356" t="inlineStr">
        <is>
          <t>0                      HV 0091000S  625         1998</t>
        </is>
      </c>
      <c r="D1356" t="inlineStr">
        <is>
          <t>Social work in rural communities / edited by Leon H. Ginsberg.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L1356" t="inlineStr">
        <is>
          <t>Alexandria, Va. : Council on Social Work Education, 1998.</t>
        </is>
      </c>
      <c r="M1356" t="inlineStr">
        <is>
          <t>1998</t>
        </is>
      </c>
      <c r="N1356" t="inlineStr">
        <is>
          <t>3rd ed.</t>
        </is>
      </c>
      <c r="O1356" t="inlineStr">
        <is>
          <t>eng</t>
        </is>
      </c>
      <c r="P1356" t="inlineStr">
        <is>
          <t>vau</t>
        </is>
      </c>
      <c r="R1356" t="inlineStr">
        <is>
          <t xml:space="preserve">HV </t>
        </is>
      </c>
      <c r="S1356" t="n">
        <v>1</v>
      </c>
      <c r="T1356" t="n">
        <v>1</v>
      </c>
      <c r="U1356" t="inlineStr">
        <is>
          <t>2005-03-14</t>
        </is>
      </c>
      <c r="V1356" t="inlineStr">
        <is>
          <t>2005-03-14</t>
        </is>
      </c>
      <c r="W1356" t="inlineStr">
        <is>
          <t>2005-03-14</t>
        </is>
      </c>
      <c r="X1356" t="inlineStr">
        <is>
          <t>2005-03-14</t>
        </is>
      </c>
      <c r="Y1356" t="n">
        <v>160</v>
      </c>
      <c r="Z1356" t="n">
        <v>139</v>
      </c>
      <c r="AA1356" t="n">
        <v>496</v>
      </c>
      <c r="AB1356" t="n">
        <v>2</v>
      </c>
      <c r="AC1356" t="n">
        <v>8</v>
      </c>
      <c r="AD1356" t="n">
        <v>6</v>
      </c>
      <c r="AE1356" t="n">
        <v>26</v>
      </c>
      <c r="AF1356" t="n">
        <v>3</v>
      </c>
      <c r="AG1356" t="n">
        <v>8</v>
      </c>
      <c r="AH1356" t="n">
        <v>1</v>
      </c>
      <c r="AI1356" t="n">
        <v>7</v>
      </c>
      <c r="AJ1356" t="n">
        <v>2</v>
      </c>
      <c r="AK1356" t="n">
        <v>11</v>
      </c>
      <c r="AL1356" t="n">
        <v>1</v>
      </c>
      <c r="AM1356" t="n">
        <v>6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HYPERLINK("http://catalog.hathitrust.org/Record/004036071","HathiTrust Record")</f>
        <v/>
      </c>
      <c r="AS1356">
        <f>HYPERLINK("https://creighton-primo.hosted.exlibrisgroup.com/primo-explore/search?tab=default_tab&amp;search_scope=EVERYTHING&amp;vid=01CRU&amp;lang=en_US&amp;offset=0&amp;query=any,contains,991004471329702656","Catalog Record")</f>
        <v/>
      </c>
      <c r="AT1356">
        <f>HYPERLINK("http://www.worldcat.org/oclc/38355859","WorldCat Record")</f>
        <v/>
      </c>
      <c r="AU1356" t="inlineStr">
        <is>
          <t>55705183:eng</t>
        </is>
      </c>
      <c r="AV1356" t="inlineStr">
        <is>
          <t>38355859</t>
        </is>
      </c>
      <c r="AW1356" t="inlineStr">
        <is>
          <t>991004471329702656</t>
        </is>
      </c>
      <c r="AX1356" t="inlineStr">
        <is>
          <t>991004471329702656</t>
        </is>
      </c>
      <c r="AY1356" t="inlineStr">
        <is>
          <t>2255228170002656</t>
        </is>
      </c>
      <c r="AZ1356" t="inlineStr">
        <is>
          <t>BOOK</t>
        </is>
      </c>
      <c r="BC1356" t="inlineStr">
        <is>
          <t>32285005041149</t>
        </is>
      </c>
      <c r="BD1356" t="inlineStr">
        <is>
          <t>893506891</t>
        </is>
      </c>
    </row>
    <row r="1357">
      <c r="A1357" t="inlineStr">
        <is>
          <t>No</t>
        </is>
      </c>
      <c r="B1357" t="inlineStr">
        <is>
          <t>HV91 .S6267 1995</t>
        </is>
      </c>
      <c r="C1357" t="inlineStr">
        <is>
          <t>0                      HV 0091000S  6267        1995</t>
        </is>
      </c>
      <c r="D1357" t="inlineStr">
        <is>
          <t>Conducting needs assessments : a multidisciplinary approach / Fernando I. Soriano.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Soriano, Fernando I.</t>
        </is>
      </c>
      <c r="L1357" t="inlineStr">
        <is>
          <t>Thousand Oaks : Sage Publications, c1995.</t>
        </is>
      </c>
      <c r="M1357" t="inlineStr">
        <is>
          <t>1995</t>
        </is>
      </c>
      <c r="O1357" t="inlineStr">
        <is>
          <t>eng</t>
        </is>
      </c>
      <c r="P1357" t="inlineStr">
        <is>
          <t>cau</t>
        </is>
      </c>
      <c r="Q1357" t="inlineStr">
        <is>
          <t>Sage human services guide ; 68</t>
        </is>
      </c>
      <c r="R1357" t="inlineStr">
        <is>
          <t xml:space="preserve">HV </t>
        </is>
      </c>
      <c r="S1357" t="n">
        <v>3</v>
      </c>
      <c r="T1357" t="n">
        <v>3</v>
      </c>
      <c r="U1357" t="inlineStr">
        <is>
          <t>2003-10-10</t>
        </is>
      </c>
      <c r="V1357" t="inlineStr">
        <is>
          <t>2003-10-10</t>
        </is>
      </c>
      <c r="W1357" t="inlineStr">
        <is>
          <t>2001-02-01</t>
        </is>
      </c>
      <c r="X1357" t="inlineStr">
        <is>
          <t>2001-02-01</t>
        </is>
      </c>
      <c r="Y1357" t="n">
        <v>425</v>
      </c>
      <c r="Z1357" t="n">
        <v>317</v>
      </c>
      <c r="AA1357" t="n">
        <v>775</v>
      </c>
      <c r="AB1357" t="n">
        <v>4</v>
      </c>
      <c r="AC1357" t="n">
        <v>6</v>
      </c>
      <c r="AD1357" t="n">
        <v>21</v>
      </c>
      <c r="AE1357" t="n">
        <v>29</v>
      </c>
      <c r="AF1357" t="n">
        <v>7</v>
      </c>
      <c r="AG1357" t="n">
        <v>10</v>
      </c>
      <c r="AH1357" t="n">
        <v>5</v>
      </c>
      <c r="AI1357" t="n">
        <v>7</v>
      </c>
      <c r="AJ1357" t="n">
        <v>11</v>
      </c>
      <c r="AK1357" t="n">
        <v>14</v>
      </c>
      <c r="AL1357" t="n">
        <v>3</v>
      </c>
      <c r="AM1357" t="n">
        <v>5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HYPERLINK("http://catalog.hathitrust.org/Record/003034474","HathiTrust Record")</f>
        <v/>
      </c>
      <c r="AS1357">
        <f>HYPERLINK("https://creighton-primo.hosted.exlibrisgroup.com/primo-explore/search?tab=default_tab&amp;search_scope=EVERYTHING&amp;vid=01CRU&amp;lang=en_US&amp;offset=0&amp;query=any,contains,991003476019702656","Catalog Record")</f>
        <v/>
      </c>
      <c r="AT1357">
        <f>HYPERLINK("http://www.worldcat.org/oclc/32166625","WorldCat Record")</f>
        <v/>
      </c>
      <c r="AU1357" t="inlineStr">
        <is>
          <t>797258607:eng</t>
        </is>
      </c>
      <c r="AV1357" t="inlineStr">
        <is>
          <t>32166625</t>
        </is>
      </c>
      <c r="AW1357" t="inlineStr">
        <is>
          <t>991003476019702656</t>
        </is>
      </c>
      <c r="AX1357" t="inlineStr">
        <is>
          <t>991003476019702656</t>
        </is>
      </c>
      <c r="AY1357" t="inlineStr">
        <is>
          <t>2266183970002656</t>
        </is>
      </c>
      <c r="AZ1357" t="inlineStr">
        <is>
          <t>BOOK</t>
        </is>
      </c>
      <c r="BB1357" t="inlineStr">
        <is>
          <t>9780803952119</t>
        </is>
      </c>
      <c r="BC1357" t="inlineStr">
        <is>
          <t>32285004293535</t>
        </is>
      </c>
      <c r="BD1357" t="inlineStr">
        <is>
          <t>893604828</t>
        </is>
      </c>
    </row>
    <row r="1358">
      <c r="A1358" t="inlineStr">
        <is>
          <t>No</t>
        </is>
      </c>
      <c r="B1358" t="inlineStr">
        <is>
          <t>HV91 .S64</t>
        </is>
      </c>
      <c r="C1358" t="inlineStr">
        <is>
          <t>0                      HV 0091000S  64</t>
        </is>
      </c>
      <c r="D1358" t="inlineStr">
        <is>
          <t>Public welfare / Arthur Spindler.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K1358" t="inlineStr">
        <is>
          <t>Spindler, Arthur.</t>
        </is>
      </c>
      <c r="L1358" t="inlineStr">
        <is>
          <t>New York : Human Sciences Press, c1979.</t>
        </is>
      </c>
      <c r="M1358" t="inlineStr">
        <is>
          <t>1979</t>
        </is>
      </c>
      <c r="O1358" t="inlineStr">
        <is>
          <t>eng</t>
        </is>
      </c>
      <c r="P1358" t="inlineStr">
        <is>
          <t>nyu</t>
        </is>
      </c>
      <c r="R1358" t="inlineStr">
        <is>
          <t xml:space="preserve">HV </t>
        </is>
      </c>
      <c r="S1358" t="n">
        <v>6</v>
      </c>
      <c r="T1358" t="n">
        <v>6</v>
      </c>
      <c r="U1358" t="inlineStr">
        <is>
          <t>1994-11-14</t>
        </is>
      </c>
      <c r="V1358" t="inlineStr">
        <is>
          <t>1994-11-14</t>
        </is>
      </c>
      <c r="W1358" t="inlineStr">
        <is>
          <t>1993-05-14</t>
        </is>
      </c>
      <c r="X1358" t="inlineStr">
        <is>
          <t>1993-05-14</t>
        </is>
      </c>
      <c r="Y1358" t="n">
        <v>467</v>
      </c>
      <c r="Z1358" t="n">
        <v>420</v>
      </c>
      <c r="AA1358" t="n">
        <v>435</v>
      </c>
      <c r="AB1358" t="n">
        <v>3</v>
      </c>
      <c r="AC1358" t="n">
        <v>3</v>
      </c>
      <c r="AD1358" t="n">
        <v>19</v>
      </c>
      <c r="AE1358" t="n">
        <v>19</v>
      </c>
      <c r="AF1358" t="n">
        <v>9</v>
      </c>
      <c r="AG1358" t="n">
        <v>9</v>
      </c>
      <c r="AH1358" t="n">
        <v>3</v>
      </c>
      <c r="AI1358" t="n">
        <v>3</v>
      </c>
      <c r="AJ1358" t="n">
        <v>8</v>
      </c>
      <c r="AK1358" t="n">
        <v>8</v>
      </c>
      <c r="AL1358" t="n">
        <v>2</v>
      </c>
      <c r="AM1358" t="n">
        <v>2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HYPERLINK("http://catalog.hathitrust.org/Record/000178465","HathiTrust Record")</f>
        <v/>
      </c>
      <c r="AS1358">
        <f>HYPERLINK("https://creighton-primo.hosted.exlibrisgroup.com/primo-explore/search?tab=default_tab&amp;search_scope=EVERYTHING&amp;vid=01CRU&amp;lang=en_US&amp;offset=0&amp;query=any,contains,991004580239702656","Catalog Record")</f>
        <v/>
      </c>
      <c r="AT1358">
        <f>HYPERLINK("http://www.worldcat.org/oclc/4056597","WorldCat Record")</f>
        <v/>
      </c>
      <c r="AU1358" t="inlineStr">
        <is>
          <t>535336:eng</t>
        </is>
      </c>
      <c r="AV1358" t="inlineStr">
        <is>
          <t>4056597</t>
        </is>
      </c>
      <c r="AW1358" t="inlineStr">
        <is>
          <t>991004580239702656</t>
        </is>
      </c>
      <c r="AX1358" t="inlineStr">
        <is>
          <t>991004580239702656</t>
        </is>
      </c>
      <c r="AY1358" t="inlineStr">
        <is>
          <t>2272107700002656</t>
        </is>
      </c>
      <c r="AZ1358" t="inlineStr">
        <is>
          <t>BOOK</t>
        </is>
      </c>
      <c r="BB1358" t="inlineStr">
        <is>
          <t>9780877053255</t>
        </is>
      </c>
      <c r="BC1358" t="inlineStr">
        <is>
          <t>32285001680841</t>
        </is>
      </c>
      <c r="BD1358" t="inlineStr">
        <is>
          <t>893423969</t>
        </is>
      </c>
    </row>
    <row r="1359">
      <c r="A1359" t="inlineStr">
        <is>
          <t>No</t>
        </is>
      </c>
      <c r="B1359" t="inlineStr">
        <is>
          <t>HV91 .W24 2000</t>
        </is>
      </c>
      <c r="C1359" t="inlineStr">
        <is>
          <t>0                      HV 0091000W  24          2000</t>
        </is>
      </c>
      <c r="D1359" t="inlineStr">
        <is>
          <t>What's love got to do with it? : a critical look at American charity / David Wagner.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Wagner, David.</t>
        </is>
      </c>
      <c r="L1359" t="inlineStr">
        <is>
          <t>New York : New Press, c2000.</t>
        </is>
      </c>
      <c r="M1359" t="inlineStr">
        <is>
          <t>2000</t>
        </is>
      </c>
      <c r="O1359" t="inlineStr">
        <is>
          <t>eng</t>
        </is>
      </c>
      <c r="P1359" t="inlineStr">
        <is>
          <t>nyu</t>
        </is>
      </c>
      <c r="R1359" t="inlineStr">
        <is>
          <t xml:space="preserve">HV </t>
        </is>
      </c>
      <c r="S1359" t="n">
        <v>1</v>
      </c>
      <c r="T1359" t="n">
        <v>1</v>
      </c>
      <c r="U1359" t="inlineStr">
        <is>
          <t>2002-01-07</t>
        </is>
      </c>
      <c r="V1359" t="inlineStr">
        <is>
          <t>2002-01-07</t>
        </is>
      </c>
      <c r="W1359" t="inlineStr">
        <is>
          <t>2002-01-07</t>
        </is>
      </c>
      <c r="X1359" t="inlineStr">
        <is>
          <t>2002-01-07</t>
        </is>
      </c>
      <c r="Y1359" t="n">
        <v>532</v>
      </c>
      <c r="Z1359" t="n">
        <v>493</v>
      </c>
      <c r="AA1359" t="n">
        <v>497</v>
      </c>
      <c r="AB1359" t="n">
        <v>5</v>
      </c>
      <c r="AC1359" t="n">
        <v>5</v>
      </c>
      <c r="AD1359" t="n">
        <v>21</v>
      </c>
      <c r="AE1359" t="n">
        <v>21</v>
      </c>
      <c r="AF1359" t="n">
        <v>4</v>
      </c>
      <c r="AG1359" t="n">
        <v>4</v>
      </c>
      <c r="AH1359" t="n">
        <v>6</v>
      </c>
      <c r="AI1359" t="n">
        <v>6</v>
      </c>
      <c r="AJ1359" t="n">
        <v>11</v>
      </c>
      <c r="AK1359" t="n">
        <v>11</v>
      </c>
      <c r="AL1359" t="n">
        <v>4</v>
      </c>
      <c r="AM1359" t="n">
        <v>4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HYPERLINK("https://creighton-primo.hosted.exlibrisgroup.com/primo-explore/search?tab=default_tab&amp;search_scope=EVERYTHING&amp;vid=01CRU&amp;lang=en_US&amp;offset=0&amp;query=any,contains,991003686369702656","Catalog Record")</f>
        <v/>
      </c>
      <c r="AT1359">
        <f>HYPERLINK("http://www.worldcat.org/oclc/41516629","WorldCat Record")</f>
        <v/>
      </c>
      <c r="AU1359" t="inlineStr">
        <is>
          <t>13494274:eng</t>
        </is>
      </c>
      <c r="AV1359" t="inlineStr">
        <is>
          <t>41516629</t>
        </is>
      </c>
      <c r="AW1359" t="inlineStr">
        <is>
          <t>991003686369702656</t>
        </is>
      </c>
      <c r="AX1359" t="inlineStr">
        <is>
          <t>991003686369702656</t>
        </is>
      </c>
      <c r="AY1359" t="inlineStr">
        <is>
          <t>2257875550002656</t>
        </is>
      </c>
      <c r="AZ1359" t="inlineStr">
        <is>
          <t>BOOK</t>
        </is>
      </c>
      <c r="BB1359" t="inlineStr">
        <is>
          <t>9781565844131</t>
        </is>
      </c>
      <c r="BC1359" t="inlineStr">
        <is>
          <t>32285004445879</t>
        </is>
      </c>
      <c r="BD1359" t="inlineStr">
        <is>
          <t>893717976</t>
        </is>
      </c>
    </row>
    <row r="1360">
      <c r="A1360" t="inlineStr">
        <is>
          <t>No</t>
        </is>
      </c>
      <c r="B1360" t="inlineStr">
        <is>
          <t>HV91 .W4</t>
        </is>
      </c>
      <c r="C1360" t="inlineStr">
        <is>
          <t>0                      HV 0091000W  4</t>
        </is>
      </c>
      <c r="D1360" t="inlineStr">
        <is>
          <t>The charity organization movement in the United States; a study in American philanthropy, by Frank Dekker Watson ...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Watson, Frank Dekker.</t>
        </is>
      </c>
      <c r="L1360" t="inlineStr">
        <is>
          <t>New York, The Macmillan Company, 1922.</t>
        </is>
      </c>
      <c r="M1360" t="inlineStr">
        <is>
          <t>1922</t>
        </is>
      </c>
      <c r="O1360" t="inlineStr">
        <is>
          <t>eng</t>
        </is>
      </c>
      <c r="P1360" t="inlineStr">
        <is>
          <t>nyu</t>
        </is>
      </c>
      <c r="R1360" t="inlineStr">
        <is>
          <t xml:space="preserve">HV </t>
        </is>
      </c>
      <c r="S1360" t="n">
        <v>1</v>
      </c>
      <c r="T1360" t="n">
        <v>1</v>
      </c>
      <c r="U1360" t="inlineStr">
        <is>
          <t>2000-11-27</t>
        </is>
      </c>
      <c r="V1360" t="inlineStr">
        <is>
          <t>2000-11-27</t>
        </is>
      </c>
      <c r="W1360" t="inlineStr">
        <is>
          <t>1995-02-28</t>
        </is>
      </c>
      <c r="X1360" t="inlineStr">
        <is>
          <t>1995-02-28</t>
        </is>
      </c>
      <c r="Y1360" t="n">
        <v>210</v>
      </c>
      <c r="Z1360" t="n">
        <v>191</v>
      </c>
      <c r="AA1360" t="n">
        <v>256</v>
      </c>
      <c r="AB1360" t="n">
        <v>2</v>
      </c>
      <c r="AC1360" t="n">
        <v>3</v>
      </c>
      <c r="AD1360" t="n">
        <v>7</v>
      </c>
      <c r="AE1360" t="n">
        <v>11</v>
      </c>
      <c r="AF1360" t="n">
        <v>1</v>
      </c>
      <c r="AG1360" t="n">
        <v>1</v>
      </c>
      <c r="AH1360" t="n">
        <v>3</v>
      </c>
      <c r="AI1360" t="n">
        <v>3</v>
      </c>
      <c r="AJ1360" t="n">
        <v>3</v>
      </c>
      <c r="AK1360" t="n">
        <v>6</v>
      </c>
      <c r="AL1360" t="n">
        <v>1</v>
      </c>
      <c r="AM1360" t="n">
        <v>2</v>
      </c>
      <c r="AN1360" t="n">
        <v>0</v>
      </c>
      <c r="AO1360" t="n">
        <v>0</v>
      </c>
      <c r="AP1360" t="inlineStr">
        <is>
          <t>No</t>
        </is>
      </c>
      <c r="AQ1360" t="inlineStr">
        <is>
          <t>No</t>
        </is>
      </c>
      <c r="AS1360">
        <f>HYPERLINK("https://creighton-primo.hosted.exlibrisgroup.com/primo-explore/search?tab=default_tab&amp;search_scope=EVERYTHING&amp;vid=01CRU&amp;lang=en_US&amp;offset=0&amp;query=any,contains,991002873799702656","Catalog Record")</f>
        <v/>
      </c>
      <c r="AT1360">
        <f>HYPERLINK("http://www.worldcat.org/oclc/501441","WorldCat Record")</f>
        <v/>
      </c>
      <c r="AU1360" t="inlineStr">
        <is>
          <t>1432726:eng</t>
        </is>
      </c>
      <c r="AV1360" t="inlineStr">
        <is>
          <t>501441</t>
        </is>
      </c>
      <c r="AW1360" t="inlineStr">
        <is>
          <t>991002873799702656</t>
        </is>
      </c>
      <c r="AX1360" t="inlineStr">
        <is>
          <t>991002873799702656</t>
        </is>
      </c>
      <c r="AY1360" t="inlineStr">
        <is>
          <t>2256686530002656</t>
        </is>
      </c>
      <c r="AZ1360" t="inlineStr">
        <is>
          <t>BOOK</t>
        </is>
      </c>
      <c r="BB1360" t="inlineStr">
        <is>
          <t>9780405031304</t>
        </is>
      </c>
      <c r="BC1360" t="inlineStr">
        <is>
          <t>32285002010857</t>
        </is>
      </c>
      <c r="BD1360" t="inlineStr">
        <is>
          <t>893874119</t>
        </is>
      </c>
    </row>
    <row r="1361">
      <c r="A1361" t="inlineStr">
        <is>
          <t>No</t>
        </is>
      </c>
      <c r="B1361" t="inlineStr">
        <is>
          <t>HV91 .W47 1982</t>
        </is>
      </c>
      <c r="C1361" t="inlineStr">
        <is>
          <t>0                      HV 0091000W  47          1982</t>
        </is>
      </c>
      <c r="D1361" t="inlineStr">
        <is>
          <t>Welfare reform in America : perspectives and prospects / Paul M. Sommers, editor.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L1361" t="inlineStr">
        <is>
          <t>Boston : Kluwer-Nijhoff, c1982.</t>
        </is>
      </c>
      <c r="M1361" t="inlineStr">
        <is>
          <t>1982</t>
        </is>
      </c>
      <c r="O1361" t="inlineStr">
        <is>
          <t>eng</t>
        </is>
      </c>
      <c r="P1361" t="inlineStr">
        <is>
          <t>mau</t>
        </is>
      </c>
      <c r="Q1361" t="inlineStr">
        <is>
          <t>Middlebury conference series on economic issues</t>
        </is>
      </c>
      <c r="R1361" t="inlineStr">
        <is>
          <t xml:space="preserve">HV </t>
        </is>
      </c>
      <c r="S1361" t="n">
        <v>28</v>
      </c>
      <c r="T1361" t="n">
        <v>28</v>
      </c>
      <c r="U1361" t="inlineStr">
        <is>
          <t>2000-04-13</t>
        </is>
      </c>
      <c r="V1361" t="inlineStr">
        <is>
          <t>2000-04-13</t>
        </is>
      </c>
      <c r="W1361" t="inlineStr">
        <is>
          <t>1990-07-20</t>
        </is>
      </c>
      <c r="X1361" t="inlineStr">
        <is>
          <t>1990-07-20</t>
        </is>
      </c>
      <c r="Y1361" t="n">
        <v>325</v>
      </c>
      <c r="Z1361" t="n">
        <v>259</v>
      </c>
      <c r="AA1361" t="n">
        <v>276</v>
      </c>
      <c r="AB1361" t="n">
        <v>2</v>
      </c>
      <c r="AC1361" t="n">
        <v>2</v>
      </c>
      <c r="AD1361" t="n">
        <v>12</v>
      </c>
      <c r="AE1361" t="n">
        <v>14</v>
      </c>
      <c r="AF1361" t="n">
        <v>2</v>
      </c>
      <c r="AG1361" t="n">
        <v>4</v>
      </c>
      <c r="AH1361" t="n">
        <v>3</v>
      </c>
      <c r="AI1361" t="n">
        <v>3</v>
      </c>
      <c r="AJ1361" t="n">
        <v>7</v>
      </c>
      <c r="AK1361" t="n">
        <v>8</v>
      </c>
      <c r="AL1361" t="n">
        <v>1</v>
      </c>
      <c r="AM1361" t="n">
        <v>1</v>
      </c>
      <c r="AN1361" t="n">
        <v>2</v>
      </c>
      <c r="AO1361" t="n">
        <v>2</v>
      </c>
      <c r="AP1361" t="inlineStr">
        <is>
          <t>No</t>
        </is>
      </c>
      <c r="AQ1361" t="inlineStr">
        <is>
          <t>No</t>
        </is>
      </c>
      <c r="AS1361">
        <f>HYPERLINK("https://creighton-primo.hosted.exlibrisgroup.com/primo-explore/search?tab=default_tab&amp;search_scope=EVERYTHING&amp;vid=01CRU&amp;lang=en_US&amp;offset=0&amp;query=any,contains,991005151159702656","Catalog Record")</f>
        <v/>
      </c>
      <c r="AT1361">
        <f>HYPERLINK("http://www.worldcat.org/oclc/7732593","WorldCat Record")</f>
        <v/>
      </c>
      <c r="AU1361" t="inlineStr">
        <is>
          <t>367470309:eng</t>
        </is>
      </c>
      <c r="AV1361" t="inlineStr">
        <is>
          <t>7732593</t>
        </is>
      </c>
      <c r="AW1361" t="inlineStr">
        <is>
          <t>991005151159702656</t>
        </is>
      </c>
      <c r="AX1361" t="inlineStr">
        <is>
          <t>991005151159702656</t>
        </is>
      </c>
      <c r="AY1361" t="inlineStr">
        <is>
          <t>2257080680002656</t>
        </is>
      </c>
      <c r="AZ1361" t="inlineStr">
        <is>
          <t>BOOK</t>
        </is>
      </c>
      <c r="BB1361" t="inlineStr">
        <is>
          <t>9780898380798</t>
        </is>
      </c>
      <c r="BC1361" t="inlineStr">
        <is>
          <t>32285000246677</t>
        </is>
      </c>
      <c r="BD1361" t="inlineStr">
        <is>
          <t>893520520</t>
        </is>
      </c>
    </row>
    <row r="1362">
      <c r="A1362" t="inlineStr">
        <is>
          <t>No</t>
        </is>
      </c>
      <c r="B1362" t="inlineStr">
        <is>
          <t>HV91 .W627 1995</t>
        </is>
      </c>
      <c r="C1362" t="inlineStr">
        <is>
          <t>0                      HV 0091000W  627         1995</t>
        </is>
      </c>
      <c r="D1362" t="inlineStr">
        <is>
          <t>The work alternative : welfare reform and the realities of the job market / Demetra Smith Nightingale, Robert H. Haveman, editors.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L1362" t="inlineStr">
        <is>
          <t>Washington, D.C. : Urban Institute Press, c1995.</t>
        </is>
      </c>
      <c r="M1362" t="inlineStr">
        <is>
          <t>1995</t>
        </is>
      </c>
      <c r="O1362" t="inlineStr">
        <is>
          <t>eng</t>
        </is>
      </c>
      <c r="P1362" t="inlineStr">
        <is>
          <t>dcu</t>
        </is>
      </c>
      <c r="R1362" t="inlineStr">
        <is>
          <t xml:space="preserve">HV </t>
        </is>
      </c>
      <c r="S1362" t="n">
        <v>8</v>
      </c>
      <c r="T1362" t="n">
        <v>8</v>
      </c>
      <c r="U1362" t="inlineStr">
        <is>
          <t>2006-12-09</t>
        </is>
      </c>
      <c r="V1362" t="inlineStr">
        <is>
          <t>2006-12-09</t>
        </is>
      </c>
      <c r="W1362" t="inlineStr">
        <is>
          <t>1996-01-02</t>
        </is>
      </c>
      <c r="X1362" t="inlineStr">
        <is>
          <t>1996-01-02</t>
        </is>
      </c>
      <c r="Y1362" t="n">
        <v>490</v>
      </c>
      <c r="Z1362" t="n">
        <v>449</v>
      </c>
      <c r="AA1362" t="n">
        <v>460</v>
      </c>
      <c r="AB1362" t="n">
        <v>3</v>
      </c>
      <c r="AC1362" t="n">
        <v>3</v>
      </c>
      <c r="AD1362" t="n">
        <v>23</v>
      </c>
      <c r="AE1362" t="n">
        <v>23</v>
      </c>
      <c r="AF1362" t="n">
        <v>7</v>
      </c>
      <c r="AG1362" t="n">
        <v>7</v>
      </c>
      <c r="AH1362" t="n">
        <v>5</v>
      </c>
      <c r="AI1362" t="n">
        <v>5</v>
      </c>
      <c r="AJ1362" t="n">
        <v>13</v>
      </c>
      <c r="AK1362" t="n">
        <v>13</v>
      </c>
      <c r="AL1362" t="n">
        <v>2</v>
      </c>
      <c r="AM1362" t="n">
        <v>2</v>
      </c>
      <c r="AN1362" t="n">
        <v>2</v>
      </c>
      <c r="AO1362" t="n">
        <v>2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HYPERLINK("http://catalog.hathitrust.org/Record/002954722","HathiTrust Record")</f>
        <v/>
      </c>
      <c r="AS1362">
        <f>HYPERLINK("https://creighton-primo.hosted.exlibrisgroup.com/primo-explore/search?tab=default_tab&amp;search_scope=EVERYTHING&amp;vid=01CRU&amp;lang=en_US&amp;offset=0&amp;query=any,contains,991002407499702656","Catalog Record")</f>
        <v/>
      </c>
      <c r="AT1362">
        <f>HYPERLINK("http://www.worldcat.org/oclc/31328375","WorldCat Record")</f>
        <v/>
      </c>
      <c r="AU1362" t="inlineStr">
        <is>
          <t>476660607:eng</t>
        </is>
      </c>
      <c r="AV1362" t="inlineStr">
        <is>
          <t>31328375</t>
        </is>
      </c>
      <c r="AW1362" t="inlineStr">
        <is>
          <t>991002407499702656</t>
        </is>
      </c>
      <c r="AX1362" t="inlineStr">
        <is>
          <t>991002407499702656</t>
        </is>
      </c>
      <c r="AY1362" t="inlineStr">
        <is>
          <t>2256806820002656</t>
        </is>
      </c>
      <c r="AZ1362" t="inlineStr">
        <is>
          <t>BOOK</t>
        </is>
      </c>
      <c r="BB1362" t="inlineStr">
        <is>
          <t>9780877666233</t>
        </is>
      </c>
      <c r="BC1362" t="inlineStr">
        <is>
          <t>32285002113602</t>
        </is>
      </c>
      <c r="BD1362" t="inlineStr">
        <is>
          <t>893347464</t>
        </is>
      </c>
    </row>
    <row r="1363">
      <c r="A1363" t="inlineStr">
        <is>
          <t>No</t>
        </is>
      </c>
      <c r="B1363" t="inlineStr">
        <is>
          <t>HV9104 .A82 1996</t>
        </is>
      </c>
      <c r="C1363" t="inlineStr">
        <is>
          <t>0                      HV 9104000A  82          1996</t>
        </is>
      </c>
      <c r="D1363" t="inlineStr">
        <is>
          <t>Background factors of juvenile delinquency / Huub Angenent &amp; Anton de Man.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Angenent, Huub.</t>
        </is>
      </c>
      <c r="L1363" t="inlineStr">
        <is>
          <t>New York : P. Lang, c1996.</t>
        </is>
      </c>
      <c r="M1363" t="inlineStr">
        <is>
          <t>1996</t>
        </is>
      </c>
      <c r="O1363" t="inlineStr">
        <is>
          <t>eng</t>
        </is>
      </c>
      <c r="P1363" t="inlineStr">
        <is>
          <t>nyu</t>
        </is>
      </c>
      <c r="Q1363" t="inlineStr">
        <is>
          <t>American university studies. Series XI, Anthropology and sociology, 0740-0489 ; vol. 68</t>
        </is>
      </c>
      <c r="R1363" t="inlineStr">
        <is>
          <t xml:space="preserve">HV </t>
        </is>
      </c>
      <c r="S1363" t="n">
        <v>30</v>
      </c>
      <c r="T1363" t="n">
        <v>30</v>
      </c>
      <c r="U1363" t="inlineStr">
        <is>
          <t>2004-07-22</t>
        </is>
      </c>
      <c r="V1363" t="inlineStr">
        <is>
          <t>2004-07-22</t>
        </is>
      </c>
      <c r="W1363" t="inlineStr">
        <is>
          <t>1996-05-15</t>
        </is>
      </c>
      <c r="X1363" t="inlineStr">
        <is>
          <t>1996-05-15</t>
        </is>
      </c>
      <c r="Y1363" t="n">
        <v>217</v>
      </c>
      <c r="Z1363" t="n">
        <v>177</v>
      </c>
      <c r="AA1363" t="n">
        <v>179</v>
      </c>
      <c r="AB1363" t="n">
        <v>3</v>
      </c>
      <c r="AC1363" t="n">
        <v>3</v>
      </c>
      <c r="AD1363" t="n">
        <v>9</v>
      </c>
      <c r="AE1363" t="n">
        <v>9</v>
      </c>
      <c r="AF1363" t="n">
        <v>1</v>
      </c>
      <c r="AG1363" t="n">
        <v>1</v>
      </c>
      <c r="AH1363" t="n">
        <v>2</v>
      </c>
      <c r="AI1363" t="n">
        <v>2</v>
      </c>
      <c r="AJ1363" t="n">
        <v>5</v>
      </c>
      <c r="AK1363" t="n">
        <v>5</v>
      </c>
      <c r="AL1363" t="n">
        <v>2</v>
      </c>
      <c r="AM1363" t="n">
        <v>2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Yes</t>
        </is>
      </c>
      <c r="AR1363">
        <f>HYPERLINK("http://catalog.hathitrust.org/Record/003065147","HathiTrust Record")</f>
        <v/>
      </c>
      <c r="AS1363">
        <f>HYPERLINK("https://creighton-primo.hosted.exlibrisgroup.com/primo-explore/search?tab=default_tab&amp;search_scope=EVERYTHING&amp;vid=01CRU&amp;lang=en_US&amp;offset=0&amp;query=any,contains,991002542659702656","Catalog Record")</f>
        <v/>
      </c>
      <c r="AT1363">
        <f>HYPERLINK("http://www.worldcat.org/oclc/33045065","WorldCat Record")</f>
        <v/>
      </c>
      <c r="AU1363" t="inlineStr">
        <is>
          <t>38283942:eng</t>
        </is>
      </c>
      <c r="AV1363" t="inlineStr">
        <is>
          <t>33045065</t>
        </is>
      </c>
      <c r="AW1363" t="inlineStr">
        <is>
          <t>991002542659702656</t>
        </is>
      </c>
      <c r="AX1363" t="inlineStr">
        <is>
          <t>991002542659702656</t>
        </is>
      </c>
      <c r="AY1363" t="inlineStr">
        <is>
          <t>2264871900002656</t>
        </is>
      </c>
      <c r="AZ1363" t="inlineStr">
        <is>
          <t>BOOK</t>
        </is>
      </c>
      <c r="BB1363" t="inlineStr">
        <is>
          <t>9780820428901</t>
        </is>
      </c>
      <c r="BC1363" t="inlineStr">
        <is>
          <t>32285002168622</t>
        </is>
      </c>
      <c r="BD1363" t="inlineStr">
        <is>
          <t>893697934</t>
        </is>
      </c>
    </row>
    <row r="1364">
      <c r="A1364" t="inlineStr">
        <is>
          <t>No</t>
        </is>
      </c>
      <c r="B1364" t="inlineStr">
        <is>
          <t>HV9104 .B45</t>
        </is>
      </c>
      <c r="C1364" t="inlineStr">
        <is>
          <t>0                      HV 9104000B  45</t>
        </is>
      </c>
      <c r="D1364" t="inlineStr">
        <is>
          <t>The effects of the juvenile justice system on self-concept / Dennis C. Bliss.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Bliss, Dennis C.</t>
        </is>
      </c>
      <c r="L1364" t="inlineStr">
        <is>
          <t>San Francisco : R &amp; E Research Associates, 1977.</t>
        </is>
      </c>
      <c r="M1364" t="inlineStr">
        <is>
          <t>1977</t>
        </is>
      </c>
      <c r="O1364" t="inlineStr">
        <is>
          <t>eng</t>
        </is>
      </c>
      <c r="P1364" t="inlineStr">
        <is>
          <t>cau</t>
        </is>
      </c>
      <c r="R1364" t="inlineStr">
        <is>
          <t xml:space="preserve">HV </t>
        </is>
      </c>
      <c r="S1364" t="n">
        <v>2</v>
      </c>
      <c r="T1364" t="n">
        <v>2</v>
      </c>
      <c r="U1364" t="inlineStr">
        <is>
          <t>2009-11-09</t>
        </is>
      </c>
      <c r="V1364" t="inlineStr">
        <is>
          <t>2009-11-09</t>
        </is>
      </c>
      <c r="W1364" t="inlineStr">
        <is>
          <t>1992-12-10</t>
        </is>
      </c>
      <c r="X1364" t="inlineStr">
        <is>
          <t>1992-12-10</t>
        </is>
      </c>
      <c r="Y1364" t="n">
        <v>242</v>
      </c>
      <c r="Z1364" t="n">
        <v>222</v>
      </c>
      <c r="AA1364" t="n">
        <v>227</v>
      </c>
      <c r="AB1364" t="n">
        <v>5</v>
      </c>
      <c r="AC1364" t="n">
        <v>5</v>
      </c>
      <c r="AD1364" t="n">
        <v>12</v>
      </c>
      <c r="AE1364" t="n">
        <v>12</v>
      </c>
      <c r="AF1364" t="n">
        <v>2</v>
      </c>
      <c r="AG1364" t="n">
        <v>2</v>
      </c>
      <c r="AH1364" t="n">
        <v>1</v>
      </c>
      <c r="AI1364" t="n">
        <v>1</v>
      </c>
      <c r="AJ1364" t="n">
        <v>3</v>
      </c>
      <c r="AK1364" t="n">
        <v>3</v>
      </c>
      <c r="AL1364" t="n">
        <v>3</v>
      </c>
      <c r="AM1364" t="n">
        <v>3</v>
      </c>
      <c r="AN1364" t="n">
        <v>4</v>
      </c>
      <c r="AO1364" t="n">
        <v>4</v>
      </c>
      <c r="AP1364" t="inlineStr">
        <is>
          <t>No</t>
        </is>
      </c>
      <c r="AQ1364" t="inlineStr">
        <is>
          <t>No</t>
        </is>
      </c>
      <c r="AS1364">
        <f>HYPERLINK("https://creighton-primo.hosted.exlibrisgroup.com/primo-explore/search?tab=default_tab&amp;search_scope=EVERYTHING&amp;vid=01CRU&amp;lang=en_US&amp;offset=0&amp;query=any,contains,991004322109702656","Catalog Record")</f>
        <v/>
      </c>
      <c r="AT1364">
        <f>HYPERLINK("http://www.worldcat.org/oclc/3019870","WorldCat Record")</f>
        <v/>
      </c>
      <c r="AU1364" t="inlineStr">
        <is>
          <t>7224459:eng</t>
        </is>
      </c>
      <c r="AV1364" t="inlineStr">
        <is>
          <t>3019870</t>
        </is>
      </c>
      <c r="AW1364" t="inlineStr">
        <is>
          <t>991004322109702656</t>
        </is>
      </c>
      <c r="AX1364" t="inlineStr">
        <is>
          <t>991004322109702656</t>
        </is>
      </c>
      <c r="AY1364" t="inlineStr">
        <is>
          <t>2255994460002656</t>
        </is>
      </c>
      <c r="AZ1364" t="inlineStr">
        <is>
          <t>BOOK</t>
        </is>
      </c>
      <c r="BB1364" t="inlineStr">
        <is>
          <t>9780882474335</t>
        </is>
      </c>
      <c r="BC1364" t="inlineStr">
        <is>
          <t>32285001440204</t>
        </is>
      </c>
      <c r="BD1364" t="inlineStr">
        <is>
          <t>893869590</t>
        </is>
      </c>
    </row>
    <row r="1365">
      <c r="A1365" t="inlineStr">
        <is>
          <t>No</t>
        </is>
      </c>
      <c r="B1365" t="inlineStr">
        <is>
          <t>HV9104 .C44</t>
        </is>
      </c>
      <c r="C1365" t="inlineStr">
        <is>
          <t>0                      HV 9104000C  44</t>
        </is>
      </c>
      <c r="D1365" t="inlineStr">
        <is>
          <t>Children in confinement. Introd. by Robert M. Mennel.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L1365" t="inlineStr">
        <is>
          <t>New York, Arno Press, 1974.</t>
        </is>
      </c>
      <c r="M1365" t="inlineStr">
        <is>
          <t>1974</t>
        </is>
      </c>
      <c r="O1365" t="inlineStr">
        <is>
          <t>eng</t>
        </is>
      </c>
      <c r="P1365" t="inlineStr">
        <is>
          <t>nyu</t>
        </is>
      </c>
      <c r="Q1365" t="inlineStr">
        <is>
          <t>Children and youth : social problems and social policy</t>
        </is>
      </c>
      <c r="R1365" t="inlineStr">
        <is>
          <t xml:space="preserve">HV </t>
        </is>
      </c>
      <c r="S1365" t="n">
        <v>3</v>
      </c>
      <c r="T1365" t="n">
        <v>3</v>
      </c>
      <c r="U1365" t="inlineStr">
        <is>
          <t>2001-03-11</t>
        </is>
      </c>
      <c r="V1365" t="inlineStr">
        <is>
          <t>2001-03-11</t>
        </is>
      </c>
      <c r="W1365" t="inlineStr">
        <is>
          <t>1997-08-26</t>
        </is>
      </c>
      <c r="X1365" t="inlineStr">
        <is>
          <t>1997-08-26</t>
        </is>
      </c>
      <c r="Y1365" t="n">
        <v>202</v>
      </c>
      <c r="Z1365" t="n">
        <v>180</v>
      </c>
      <c r="AA1365" t="n">
        <v>181</v>
      </c>
      <c r="AB1365" t="n">
        <v>3</v>
      </c>
      <c r="AC1365" t="n">
        <v>3</v>
      </c>
      <c r="AD1365" t="n">
        <v>10</v>
      </c>
      <c r="AE1365" t="n">
        <v>10</v>
      </c>
      <c r="AF1365" t="n">
        <v>2</v>
      </c>
      <c r="AG1365" t="n">
        <v>2</v>
      </c>
      <c r="AH1365" t="n">
        <v>1</v>
      </c>
      <c r="AI1365" t="n">
        <v>1</v>
      </c>
      <c r="AJ1365" t="n">
        <v>2</v>
      </c>
      <c r="AK1365" t="n">
        <v>2</v>
      </c>
      <c r="AL1365" t="n">
        <v>1</v>
      </c>
      <c r="AM1365" t="n">
        <v>1</v>
      </c>
      <c r="AN1365" t="n">
        <v>5</v>
      </c>
      <c r="AO1365" t="n">
        <v>5</v>
      </c>
      <c r="AP1365" t="inlineStr">
        <is>
          <t>No</t>
        </is>
      </c>
      <c r="AQ1365" t="inlineStr">
        <is>
          <t>No</t>
        </is>
      </c>
      <c r="AS1365">
        <f>HYPERLINK("https://creighton-primo.hosted.exlibrisgroup.com/primo-explore/search?tab=default_tab&amp;search_scope=EVERYTHING&amp;vid=01CRU&amp;lang=en_US&amp;offset=0&amp;query=any,contains,991003606439702656","Catalog Record")</f>
        <v/>
      </c>
      <c r="AT1365">
        <f>HYPERLINK("http://www.worldcat.org/oclc/1186774","WorldCat Record")</f>
        <v/>
      </c>
      <c r="AU1365" t="inlineStr">
        <is>
          <t>2089984:eng</t>
        </is>
      </c>
      <c r="AV1365" t="inlineStr">
        <is>
          <t>1186774</t>
        </is>
      </c>
      <c r="AW1365" t="inlineStr">
        <is>
          <t>991003606439702656</t>
        </is>
      </c>
      <c r="AX1365" t="inlineStr">
        <is>
          <t>991003606439702656</t>
        </is>
      </c>
      <c r="AY1365" t="inlineStr">
        <is>
          <t>2266761200002656</t>
        </is>
      </c>
      <c r="AZ1365" t="inlineStr">
        <is>
          <t>BOOK</t>
        </is>
      </c>
      <c r="BB1365" t="inlineStr">
        <is>
          <t>9780405059544</t>
        </is>
      </c>
      <c r="BC1365" t="inlineStr">
        <is>
          <t>32285003159737</t>
        </is>
      </c>
      <c r="BD1365" t="inlineStr">
        <is>
          <t>893234346</t>
        </is>
      </c>
    </row>
    <row r="1366">
      <c r="A1366" t="inlineStr">
        <is>
          <t>No</t>
        </is>
      </c>
      <c r="B1366" t="inlineStr">
        <is>
          <t>HV9104 .E438 1999</t>
        </is>
      </c>
      <c r="C1366" t="inlineStr">
        <is>
          <t>0                      HV 9104000E  438         1999</t>
        </is>
      </c>
      <c r="D1366" t="inlineStr">
        <is>
          <t>Superpredators : the demonization of our children by the law / Peter Elikann ; foreword by Mark Klaas.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K1366" t="inlineStr">
        <is>
          <t>Elikann, Peter T.</t>
        </is>
      </c>
      <c r="L1366" t="inlineStr">
        <is>
          <t>New York : Insight Books, c1999.</t>
        </is>
      </c>
      <c r="M1366" t="inlineStr">
        <is>
          <t>1999</t>
        </is>
      </c>
      <c r="O1366" t="inlineStr">
        <is>
          <t>eng</t>
        </is>
      </c>
      <c r="P1366" t="inlineStr">
        <is>
          <t>nyu</t>
        </is>
      </c>
      <c r="R1366" t="inlineStr">
        <is>
          <t xml:space="preserve">HV </t>
        </is>
      </c>
      <c r="S1366" t="n">
        <v>4</v>
      </c>
      <c r="T1366" t="n">
        <v>4</v>
      </c>
      <c r="U1366" t="inlineStr">
        <is>
          <t>2010-12-05</t>
        </is>
      </c>
      <c r="V1366" t="inlineStr">
        <is>
          <t>2010-12-05</t>
        </is>
      </c>
      <c r="W1366" t="inlineStr">
        <is>
          <t>2000-03-13</t>
        </is>
      </c>
      <c r="X1366" t="inlineStr">
        <is>
          <t>2000-03-13</t>
        </is>
      </c>
      <c r="Y1366" t="n">
        <v>617</v>
      </c>
      <c r="Z1366" t="n">
        <v>597</v>
      </c>
      <c r="AA1366" t="n">
        <v>789</v>
      </c>
      <c r="AB1366" t="n">
        <v>5</v>
      </c>
      <c r="AC1366" t="n">
        <v>5</v>
      </c>
      <c r="AD1366" t="n">
        <v>28</v>
      </c>
      <c r="AE1366" t="n">
        <v>32</v>
      </c>
      <c r="AF1366" t="n">
        <v>8</v>
      </c>
      <c r="AG1366" t="n">
        <v>10</v>
      </c>
      <c r="AH1366" t="n">
        <v>6</v>
      </c>
      <c r="AI1366" t="n">
        <v>7</v>
      </c>
      <c r="AJ1366" t="n">
        <v>14</v>
      </c>
      <c r="AK1366" t="n">
        <v>16</v>
      </c>
      <c r="AL1366" t="n">
        <v>4</v>
      </c>
      <c r="AM1366" t="n">
        <v>4</v>
      </c>
      <c r="AN1366" t="n">
        <v>4</v>
      </c>
      <c r="AO1366" t="n">
        <v>4</v>
      </c>
      <c r="AP1366" t="inlineStr">
        <is>
          <t>No</t>
        </is>
      </c>
      <c r="AQ1366" t="inlineStr">
        <is>
          <t>Yes</t>
        </is>
      </c>
      <c r="AR1366">
        <f>HYPERLINK("http://catalog.hathitrust.org/Record/004032551","HathiTrust Record")</f>
        <v/>
      </c>
      <c r="AS1366">
        <f>HYPERLINK("https://creighton-primo.hosted.exlibrisgroup.com/primo-explore/search?tab=default_tab&amp;search_scope=EVERYTHING&amp;vid=01CRU&amp;lang=en_US&amp;offset=0&amp;query=any,contains,991003003799702656","Catalog Record")</f>
        <v/>
      </c>
      <c r="AT1366">
        <f>HYPERLINK("http://www.worldcat.org/oclc/40698539","WorldCat Record")</f>
        <v/>
      </c>
      <c r="AU1366" t="inlineStr">
        <is>
          <t>942227:eng</t>
        </is>
      </c>
      <c r="AV1366" t="inlineStr">
        <is>
          <t>40698539</t>
        </is>
      </c>
      <c r="AW1366" t="inlineStr">
        <is>
          <t>991003003799702656</t>
        </is>
      </c>
      <c r="AX1366" t="inlineStr">
        <is>
          <t>991003003799702656</t>
        </is>
      </c>
      <c r="AY1366" t="inlineStr">
        <is>
          <t>2264478460002656</t>
        </is>
      </c>
      <c r="AZ1366" t="inlineStr">
        <is>
          <t>BOOK</t>
        </is>
      </c>
      <c r="BB1366" t="inlineStr">
        <is>
          <t>9780306460074</t>
        </is>
      </c>
      <c r="BC1366" t="inlineStr">
        <is>
          <t>32285003668778</t>
        </is>
      </c>
      <c r="BD1366" t="inlineStr">
        <is>
          <t>893887027</t>
        </is>
      </c>
    </row>
    <row r="1367">
      <c r="A1367" t="inlineStr">
        <is>
          <t>No</t>
        </is>
      </c>
      <c r="B1367" t="inlineStr">
        <is>
          <t>HV9104 .E445 1985</t>
        </is>
      </c>
      <c r="C1367" t="inlineStr">
        <is>
          <t>0                      HV 9104000E  445         1985</t>
        </is>
      </c>
      <c r="D1367" t="inlineStr">
        <is>
          <t>Explaining delinquency and drug use / Delbert S. Elliott, David Huizinga, Suzanne S. Ageton.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Elliott, Delbert S.</t>
        </is>
      </c>
      <c r="L1367" t="inlineStr">
        <is>
          <t>Beverly Hills, Calif. : Sage Publications, c1985.</t>
        </is>
      </c>
      <c r="M1367" t="inlineStr">
        <is>
          <t>1985</t>
        </is>
      </c>
      <c r="O1367" t="inlineStr">
        <is>
          <t>eng</t>
        </is>
      </c>
      <c r="P1367" t="inlineStr">
        <is>
          <t>cau</t>
        </is>
      </c>
      <c r="R1367" t="inlineStr">
        <is>
          <t xml:space="preserve">HV </t>
        </is>
      </c>
      <c r="S1367" t="n">
        <v>9</v>
      </c>
      <c r="T1367" t="n">
        <v>9</v>
      </c>
      <c r="U1367" t="inlineStr">
        <is>
          <t>2001-11-13</t>
        </is>
      </c>
      <c r="V1367" t="inlineStr">
        <is>
          <t>2001-11-13</t>
        </is>
      </c>
      <c r="W1367" t="inlineStr">
        <is>
          <t>1992-07-15</t>
        </is>
      </c>
      <c r="X1367" t="inlineStr">
        <is>
          <t>1992-07-15</t>
        </is>
      </c>
      <c r="Y1367" t="n">
        <v>604</v>
      </c>
      <c r="Z1367" t="n">
        <v>475</v>
      </c>
      <c r="AA1367" t="n">
        <v>481</v>
      </c>
      <c r="AB1367" t="n">
        <v>5</v>
      </c>
      <c r="AC1367" t="n">
        <v>5</v>
      </c>
      <c r="AD1367" t="n">
        <v>26</v>
      </c>
      <c r="AE1367" t="n">
        <v>26</v>
      </c>
      <c r="AF1367" t="n">
        <v>8</v>
      </c>
      <c r="AG1367" t="n">
        <v>8</v>
      </c>
      <c r="AH1367" t="n">
        <v>6</v>
      </c>
      <c r="AI1367" t="n">
        <v>6</v>
      </c>
      <c r="AJ1367" t="n">
        <v>15</v>
      </c>
      <c r="AK1367" t="n">
        <v>15</v>
      </c>
      <c r="AL1367" t="n">
        <v>4</v>
      </c>
      <c r="AM1367" t="n">
        <v>4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Yes</t>
        </is>
      </c>
      <c r="AR1367">
        <f>HYPERLINK("http://catalog.hathitrust.org/Record/000368130","HathiTrust Record")</f>
        <v/>
      </c>
      <c r="AS1367">
        <f>HYPERLINK("https://creighton-primo.hosted.exlibrisgroup.com/primo-explore/search?tab=default_tab&amp;search_scope=EVERYTHING&amp;vid=01CRU&amp;lang=en_US&amp;offset=0&amp;query=any,contains,991000523449702656","Catalog Record")</f>
        <v/>
      </c>
      <c r="AT1367">
        <f>HYPERLINK("http://www.worldcat.org/oclc/11346477","WorldCat Record")</f>
        <v/>
      </c>
      <c r="AU1367" t="inlineStr">
        <is>
          <t>4209017:eng</t>
        </is>
      </c>
      <c r="AV1367" t="inlineStr">
        <is>
          <t>11346477</t>
        </is>
      </c>
      <c r="AW1367" t="inlineStr">
        <is>
          <t>991000523449702656</t>
        </is>
      </c>
      <c r="AX1367" t="inlineStr">
        <is>
          <t>991000523449702656</t>
        </is>
      </c>
      <c r="AY1367" t="inlineStr">
        <is>
          <t>2262933640002656</t>
        </is>
      </c>
      <c r="AZ1367" t="inlineStr">
        <is>
          <t>BOOK</t>
        </is>
      </c>
      <c r="BB1367" t="inlineStr">
        <is>
          <t>9780803924048</t>
        </is>
      </c>
      <c r="BC1367" t="inlineStr">
        <is>
          <t>32285001183192</t>
        </is>
      </c>
      <c r="BD1367" t="inlineStr">
        <is>
          <t>893315018</t>
        </is>
      </c>
    </row>
    <row r="1368">
      <c r="A1368" t="inlineStr">
        <is>
          <t>No</t>
        </is>
      </c>
      <c r="B1368" t="inlineStr">
        <is>
          <t>HV9104 .E447 1989</t>
        </is>
      </c>
      <c r="C1368" t="inlineStr">
        <is>
          <t>0                      HV 9104000E  447         1989</t>
        </is>
      </c>
      <c r="D1368" t="inlineStr">
        <is>
          <t>Multiple problem youth : delinquency, substance use, and mental health problems / Delbert S. Elliott, David Huizinga, Scott Menard.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Elliott, Delbert S.</t>
        </is>
      </c>
      <c r="L1368" t="inlineStr">
        <is>
          <t>New York : Springer-Verlag, c1989.</t>
        </is>
      </c>
      <c r="M1368" t="inlineStr">
        <is>
          <t>1989</t>
        </is>
      </c>
      <c r="O1368" t="inlineStr">
        <is>
          <t>eng</t>
        </is>
      </c>
      <c r="P1368" t="inlineStr">
        <is>
          <t>nyu</t>
        </is>
      </c>
      <c r="Q1368" t="inlineStr">
        <is>
          <t>Research in criminology</t>
        </is>
      </c>
      <c r="R1368" t="inlineStr">
        <is>
          <t xml:space="preserve">HV </t>
        </is>
      </c>
      <c r="S1368" t="n">
        <v>15</v>
      </c>
      <c r="T1368" t="n">
        <v>15</v>
      </c>
      <c r="U1368" t="inlineStr">
        <is>
          <t>2001-11-13</t>
        </is>
      </c>
      <c r="V1368" t="inlineStr">
        <is>
          <t>2001-11-13</t>
        </is>
      </c>
      <c r="W1368" t="inlineStr">
        <is>
          <t>1990-06-22</t>
        </is>
      </c>
      <c r="X1368" t="inlineStr">
        <is>
          <t>1990-06-22</t>
        </is>
      </c>
      <c r="Y1368" t="n">
        <v>345</v>
      </c>
      <c r="Z1368" t="n">
        <v>263</v>
      </c>
      <c r="AA1368" t="n">
        <v>285</v>
      </c>
      <c r="AB1368" t="n">
        <v>3</v>
      </c>
      <c r="AC1368" t="n">
        <v>3</v>
      </c>
      <c r="AD1368" t="n">
        <v>14</v>
      </c>
      <c r="AE1368" t="n">
        <v>16</v>
      </c>
      <c r="AF1368" t="n">
        <v>2</v>
      </c>
      <c r="AG1368" t="n">
        <v>4</v>
      </c>
      <c r="AH1368" t="n">
        <v>5</v>
      </c>
      <c r="AI1368" t="n">
        <v>5</v>
      </c>
      <c r="AJ1368" t="n">
        <v>10</v>
      </c>
      <c r="AK1368" t="n">
        <v>11</v>
      </c>
      <c r="AL1368" t="n">
        <v>2</v>
      </c>
      <c r="AM1368" t="n">
        <v>2</v>
      </c>
      <c r="AN1368" t="n">
        <v>0</v>
      </c>
      <c r="AO1368" t="n">
        <v>0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HYPERLINK("http://catalog.hathitrust.org/Record/001814901","HathiTrust Record")</f>
        <v/>
      </c>
      <c r="AS1368">
        <f>HYPERLINK("https://creighton-primo.hosted.exlibrisgroup.com/primo-explore/search?tab=default_tab&amp;search_scope=EVERYTHING&amp;vid=01CRU&amp;lang=en_US&amp;offset=0&amp;query=any,contains,991001394189702656","Catalog Record")</f>
        <v/>
      </c>
      <c r="AT1368">
        <f>HYPERLINK("http://www.worldcat.org/oclc/18780296","WorldCat Record")</f>
        <v/>
      </c>
      <c r="AU1368" t="inlineStr">
        <is>
          <t>18868265:eng</t>
        </is>
      </c>
      <c r="AV1368" t="inlineStr">
        <is>
          <t>18780296</t>
        </is>
      </c>
      <c r="AW1368" t="inlineStr">
        <is>
          <t>991001394189702656</t>
        </is>
      </c>
      <c r="AX1368" t="inlineStr">
        <is>
          <t>991001394189702656</t>
        </is>
      </c>
      <c r="AY1368" t="inlineStr">
        <is>
          <t>2260428100002656</t>
        </is>
      </c>
      <c r="AZ1368" t="inlineStr">
        <is>
          <t>BOOK</t>
        </is>
      </c>
      <c r="BB1368" t="inlineStr">
        <is>
          <t>9780387969251</t>
        </is>
      </c>
      <c r="BC1368" t="inlineStr">
        <is>
          <t>32285000179597</t>
        </is>
      </c>
      <c r="BD1368" t="inlineStr">
        <is>
          <t>893878861</t>
        </is>
      </c>
    </row>
    <row r="1369">
      <c r="A1369" t="inlineStr">
        <is>
          <t>No</t>
        </is>
      </c>
      <c r="B1369" t="inlineStr">
        <is>
          <t>HV9104 .G83 1998</t>
        </is>
      </c>
      <c r="C1369" t="inlineStr">
        <is>
          <t>0                      HV 9104000G  83          1998</t>
        </is>
      </c>
      <c r="D1369" t="inlineStr">
        <is>
          <t>Balancing juvenile justice / Susan Guarino-Ghezzi and Edward J. Loughran.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Guarino-Ghezzi, Susan.</t>
        </is>
      </c>
      <c r="L1369" t="inlineStr">
        <is>
          <t>New Brunswick, NJ : Transaction Publishers, 1998, c1996.</t>
        </is>
      </c>
      <c r="M1369" t="inlineStr">
        <is>
          <t>1998</t>
        </is>
      </c>
      <c r="N1369" t="inlineStr">
        <is>
          <t>1st pbk. ed.</t>
        </is>
      </c>
      <c r="O1369" t="inlineStr">
        <is>
          <t>eng</t>
        </is>
      </c>
      <c r="P1369" t="inlineStr">
        <is>
          <t>nju</t>
        </is>
      </c>
      <c r="R1369" t="inlineStr">
        <is>
          <t xml:space="preserve">HV </t>
        </is>
      </c>
      <c r="S1369" t="n">
        <v>6</v>
      </c>
      <c r="T1369" t="n">
        <v>6</v>
      </c>
      <c r="U1369" t="inlineStr">
        <is>
          <t>2004-03-04</t>
        </is>
      </c>
      <c r="V1369" t="inlineStr">
        <is>
          <t>2004-03-04</t>
        </is>
      </c>
      <c r="W1369" t="inlineStr">
        <is>
          <t>1999-05-19</t>
        </is>
      </c>
      <c r="X1369" t="inlineStr">
        <is>
          <t>1999-05-19</t>
        </is>
      </c>
      <c r="Y1369" t="n">
        <v>28</v>
      </c>
      <c r="Z1369" t="n">
        <v>24</v>
      </c>
      <c r="AA1369" t="n">
        <v>777</v>
      </c>
      <c r="AB1369" t="n">
        <v>1</v>
      </c>
      <c r="AC1369" t="n">
        <v>5</v>
      </c>
      <c r="AD1369" t="n">
        <v>1</v>
      </c>
      <c r="AE1369" t="n">
        <v>40</v>
      </c>
      <c r="AF1369" t="n">
        <v>0</v>
      </c>
      <c r="AG1369" t="n">
        <v>16</v>
      </c>
      <c r="AH1369" t="n">
        <v>0</v>
      </c>
      <c r="AI1369" t="n">
        <v>8</v>
      </c>
      <c r="AJ1369" t="n">
        <v>1</v>
      </c>
      <c r="AK1369" t="n">
        <v>16</v>
      </c>
      <c r="AL1369" t="n">
        <v>0</v>
      </c>
      <c r="AM1369" t="n">
        <v>4</v>
      </c>
      <c r="AN1369" t="n">
        <v>0</v>
      </c>
      <c r="AO1369" t="n">
        <v>6</v>
      </c>
      <c r="AP1369" t="inlineStr">
        <is>
          <t>No</t>
        </is>
      </c>
      <c r="AQ1369" t="inlineStr">
        <is>
          <t>No</t>
        </is>
      </c>
      <c r="AS1369">
        <f>HYPERLINK("https://creighton-primo.hosted.exlibrisgroup.com/primo-explore/search?tab=default_tab&amp;search_scope=EVERYTHING&amp;vid=01CRU&amp;lang=en_US&amp;offset=0&amp;query=any,contains,991003027149702656","Catalog Record")</f>
        <v/>
      </c>
      <c r="AT1369">
        <f>HYPERLINK("http://www.worldcat.org/oclc/41391118","WorldCat Record")</f>
        <v/>
      </c>
      <c r="AU1369" t="inlineStr">
        <is>
          <t>762021:eng</t>
        </is>
      </c>
      <c r="AV1369" t="inlineStr">
        <is>
          <t>41391118</t>
        </is>
      </c>
      <c r="AW1369" t="inlineStr">
        <is>
          <t>991003027149702656</t>
        </is>
      </c>
      <c r="AX1369" t="inlineStr">
        <is>
          <t>991003027149702656</t>
        </is>
      </c>
      <c r="AY1369" t="inlineStr">
        <is>
          <t>2260879470002656</t>
        </is>
      </c>
      <c r="AZ1369" t="inlineStr">
        <is>
          <t>BOOK</t>
        </is>
      </c>
      <c r="BB1369" t="inlineStr">
        <is>
          <t>9780765804532</t>
        </is>
      </c>
      <c r="BC1369" t="inlineStr">
        <is>
          <t>32285003571261</t>
        </is>
      </c>
      <c r="BD1369" t="inlineStr">
        <is>
          <t>893505121</t>
        </is>
      </c>
    </row>
    <row r="1370">
      <c r="A1370" t="inlineStr">
        <is>
          <t>No</t>
        </is>
      </c>
      <c r="B1370" t="inlineStr">
        <is>
          <t>HV9104 .H24 1987</t>
        </is>
      </c>
      <c r="C1370" t="inlineStr">
        <is>
          <t>0                      HV 9104000H  24          1987</t>
        </is>
      </c>
      <c r="D1370" t="inlineStr">
        <is>
          <t>Handbook of juvenile delinquency / Herbert C. Quay, editor.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L1370" t="inlineStr">
        <is>
          <t>New York : Wiley, c1987.</t>
        </is>
      </c>
      <c r="M1370" t="inlineStr">
        <is>
          <t>1987</t>
        </is>
      </c>
      <c r="O1370" t="inlineStr">
        <is>
          <t>eng</t>
        </is>
      </c>
      <c r="P1370" t="inlineStr">
        <is>
          <t>nyu</t>
        </is>
      </c>
      <c r="Q1370" t="inlineStr">
        <is>
          <t>Wiley series on personality processes</t>
        </is>
      </c>
      <c r="R1370" t="inlineStr">
        <is>
          <t xml:space="preserve">HV </t>
        </is>
      </c>
      <c r="S1370" t="n">
        <v>14</v>
      </c>
      <c r="T1370" t="n">
        <v>14</v>
      </c>
      <c r="U1370" t="inlineStr">
        <is>
          <t>2006-03-09</t>
        </is>
      </c>
      <c r="V1370" t="inlineStr">
        <is>
          <t>2006-03-09</t>
        </is>
      </c>
      <c r="W1370" t="inlineStr">
        <is>
          <t>1992-07-15</t>
        </is>
      </c>
      <c r="X1370" t="inlineStr">
        <is>
          <t>1992-07-15</t>
        </is>
      </c>
      <c r="Y1370" t="n">
        <v>594</v>
      </c>
      <c r="Z1370" t="n">
        <v>479</v>
      </c>
      <c r="AA1370" t="n">
        <v>487</v>
      </c>
      <c r="AB1370" t="n">
        <v>5</v>
      </c>
      <c r="AC1370" t="n">
        <v>5</v>
      </c>
      <c r="AD1370" t="n">
        <v>26</v>
      </c>
      <c r="AE1370" t="n">
        <v>26</v>
      </c>
      <c r="AF1370" t="n">
        <v>9</v>
      </c>
      <c r="AG1370" t="n">
        <v>9</v>
      </c>
      <c r="AH1370" t="n">
        <v>6</v>
      </c>
      <c r="AI1370" t="n">
        <v>6</v>
      </c>
      <c r="AJ1370" t="n">
        <v>12</v>
      </c>
      <c r="AK1370" t="n">
        <v>12</v>
      </c>
      <c r="AL1370" t="n">
        <v>4</v>
      </c>
      <c r="AM1370" t="n">
        <v>4</v>
      </c>
      <c r="AN1370" t="n">
        <v>1</v>
      </c>
      <c r="AO1370" t="n">
        <v>1</v>
      </c>
      <c r="AP1370" t="inlineStr">
        <is>
          <t>No</t>
        </is>
      </c>
      <c r="AQ1370" t="inlineStr">
        <is>
          <t>Yes</t>
        </is>
      </c>
      <c r="AR1370">
        <f>HYPERLINK("http://catalog.hathitrust.org/Record/000852467","HathiTrust Record")</f>
        <v/>
      </c>
      <c r="AS1370">
        <f>HYPERLINK("https://creighton-primo.hosted.exlibrisgroup.com/primo-explore/search?tab=default_tab&amp;search_scope=EVERYTHING&amp;vid=01CRU&amp;lang=en_US&amp;offset=0&amp;query=any,contains,991000987139702656","Catalog Record")</f>
        <v/>
      </c>
      <c r="AT1370">
        <f>HYPERLINK("http://www.worldcat.org/oclc/15082992","WorldCat Record")</f>
        <v/>
      </c>
      <c r="AU1370" t="inlineStr">
        <is>
          <t>9040746:eng</t>
        </is>
      </c>
      <c r="AV1370" t="inlineStr">
        <is>
          <t>15082992</t>
        </is>
      </c>
      <c r="AW1370" t="inlineStr">
        <is>
          <t>991000987139702656</t>
        </is>
      </c>
      <c r="AX1370" t="inlineStr">
        <is>
          <t>991000987139702656</t>
        </is>
      </c>
      <c r="AY1370" t="inlineStr">
        <is>
          <t>2257287840002656</t>
        </is>
      </c>
      <c r="AZ1370" t="inlineStr">
        <is>
          <t>BOOK</t>
        </is>
      </c>
      <c r="BB1370" t="inlineStr">
        <is>
          <t>9780471817079</t>
        </is>
      </c>
      <c r="BC1370" t="inlineStr">
        <is>
          <t>32285001183226</t>
        </is>
      </c>
      <c r="BD1370" t="inlineStr">
        <is>
          <t>893522190</t>
        </is>
      </c>
    </row>
    <row r="1371">
      <c r="A1371" t="inlineStr">
        <is>
          <t>No</t>
        </is>
      </c>
      <c r="B1371" t="inlineStr">
        <is>
          <t>HV9104 .J87</t>
        </is>
      </c>
      <c r="C1371" t="inlineStr">
        <is>
          <t>0                      HV 9104000J  87</t>
        </is>
      </c>
      <c r="D1371" t="inlineStr">
        <is>
          <t>The Juvenile justice system / Malcolm W. Klein, editor.</t>
        </is>
      </c>
      <c r="F1371" t="inlineStr">
        <is>
          <t>No</t>
        </is>
      </c>
      <c r="G1371" t="inlineStr">
        <is>
          <t>1</t>
        </is>
      </c>
      <c r="H1371" t="inlineStr">
        <is>
          <t>Yes</t>
        </is>
      </c>
      <c r="I1371" t="inlineStr">
        <is>
          <t>No</t>
        </is>
      </c>
      <c r="J1371" t="inlineStr">
        <is>
          <t>0</t>
        </is>
      </c>
      <c r="L1371" t="inlineStr">
        <is>
          <t>Beverly Hills, Calif. : Sage Publications, c1976.</t>
        </is>
      </c>
      <c r="M1371" t="inlineStr">
        <is>
          <t>1976</t>
        </is>
      </c>
      <c r="O1371" t="inlineStr">
        <is>
          <t>eng</t>
        </is>
      </c>
      <c r="P1371" t="inlineStr">
        <is>
          <t>cau</t>
        </is>
      </c>
      <c r="Q1371" t="inlineStr">
        <is>
          <t>Sage criminal justice system annuals ; v. 5</t>
        </is>
      </c>
      <c r="R1371" t="inlineStr">
        <is>
          <t xml:space="preserve">HV </t>
        </is>
      </c>
      <c r="S1371" t="n">
        <v>10</v>
      </c>
      <c r="T1371" t="n">
        <v>16</v>
      </c>
      <c r="U1371" t="inlineStr">
        <is>
          <t>2008-03-19</t>
        </is>
      </c>
      <c r="V1371" t="inlineStr">
        <is>
          <t>2008-03-19</t>
        </is>
      </c>
      <c r="W1371" t="inlineStr">
        <is>
          <t>1992-07-15</t>
        </is>
      </c>
      <c r="X1371" t="inlineStr">
        <is>
          <t>1992-07-22</t>
        </is>
      </c>
      <c r="Y1371" t="n">
        <v>672</v>
      </c>
      <c r="Z1371" t="n">
        <v>578</v>
      </c>
      <c r="AA1371" t="n">
        <v>590</v>
      </c>
      <c r="AB1371" t="n">
        <v>10</v>
      </c>
      <c r="AC1371" t="n">
        <v>10</v>
      </c>
      <c r="AD1371" t="n">
        <v>39</v>
      </c>
      <c r="AE1371" t="n">
        <v>39</v>
      </c>
      <c r="AF1371" t="n">
        <v>10</v>
      </c>
      <c r="AG1371" t="n">
        <v>10</v>
      </c>
      <c r="AH1371" t="n">
        <v>9</v>
      </c>
      <c r="AI1371" t="n">
        <v>9</v>
      </c>
      <c r="AJ1371" t="n">
        <v>10</v>
      </c>
      <c r="AK1371" t="n">
        <v>10</v>
      </c>
      <c r="AL1371" t="n">
        <v>7</v>
      </c>
      <c r="AM1371" t="n">
        <v>7</v>
      </c>
      <c r="AN1371" t="n">
        <v>10</v>
      </c>
      <c r="AO1371" t="n">
        <v>10</v>
      </c>
      <c r="AP1371" t="inlineStr">
        <is>
          <t>No</t>
        </is>
      </c>
      <c r="AQ1371" t="inlineStr">
        <is>
          <t>Yes</t>
        </is>
      </c>
      <c r="AR1371">
        <f>HYPERLINK("http://catalog.hathitrust.org/Record/000684583","HathiTrust Record")</f>
        <v/>
      </c>
      <c r="AS1371">
        <f>HYPERLINK("https://creighton-primo.hosted.exlibrisgroup.com/primo-explore/search?tab=default_tab&amp;search_scope=EVERYTHING&amp;vid=01CRU&amp;lang=en_US&amp;offset=0&amp;query=any,contains,991001759489702656","Catalog Record")</f>
        <v/>
      </c>
      <c r="AT1371">
        <f>HYPERLINK("http://www.worldcat.org/oclc/2281942","WorldCat Record")</f>
        <v/>
      </c>
      <c r="AU1371" t="inlineStr">
        <is>
          <t>54119873:eng</t>
        </is>
      </c>
      <c r="AV1371" t="inlineStr">
        <is>
          <t>2281942</t>
        </is>
      </c>
      <c r="AW1371" t="inlineStr">
        <is>
          <t>991001759489702656</t>
        </is>
      </c>
      <c r="AX1371" t="inlineStr">
        <is>
          <t>991001759489702656</t>
        </is>
      </c>
      <c r="AY1371" t="inlineStr">
        <is>
          <t>2268085600002656</t>
        </is>
      </c>
      <c r="AZ1371" t="inlineStr">
        <is>
          <t>BOOK</t>
        </is>
      </c>
      <c r="BB1371" t="inlineStr">
        <is>
          <t>9780803904507</t>
        </is>
      </c>
      <c r="BC1371" t="inlineStr">
        <is>
          <t>32285001183234</t>
        </is>
      </c>
      <c r="BD1371" t="inlineStr">
        <is>
          <t>893785371</t>
        </is>
      </c>
    </row>
    <row r="1372">
      <c r="A1372" t="inlineStr">
        <is>
          <t>No</t>
        </is>
      </c>
      <c r="B1372" t="inlineStr">
        <is>
          <t>HV9104 .K37</t>
        </is>
      </c>
      <c r="C1372" t="inlineStr">
        <is>
          <t>0                      HV 9104000K  37</t>
        </is>
      </c>
      <c r="D1372" t="inlineStr">
        <is>
          <t>Juvenile delinquency and the juvenile justice system / Daniel Katkin, Drew Hyman, John Kramer.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Maier-Katkin, Daniel, 1945-</t>
        </is>
      </c>
      <c r="L1372" t="inlineStr">
        <is>
          <t>North Scituate, Mass. : Duxbury Press, c1976.</t>
        </is>
      </c>
      <c r="M1372" t="inlineStr">
        <is>
          <t>1976</t>
        </is>
      </c>
      <c r="O1372" t="inlineStr">
        <is>
          <t>eng</t>
        </is>
      </c>
      <c r="P1372" t="inlineStr">
        <is>
          <t>mau</t>
        </is>
      </c>
      <c r="R1372" t="inlineStr">
        <is>
          <t xml:space="preserve">HV </t>
        </is>
      </c>
      <c r="S1372" t="n">
        <v>9</v>
      </c>
      <c r="T1372" t="n">
        <v>9</v>
      </c>
      <c r="U1372" t="inlineStr">
        <is>
          <t>2008-03-19</t>
        </is>
      </c>
      <c r="V1372" t="inlineStr">
        <is>
          <t>2008-03-19</t>
        </is>
      </c>
      <c r="W1372" t="inlineStr">
        <is>
          <t>1992-04-07</t>
        </is>
      </c>
      <c r="X1372" t="inlineStr">
        <is>
          <t>1992-04-07</t>
        </is>
      </c>
      <c r="Y1372" t="n">
        <v>392</v>
      </c>
      <c r="Z1372" t="n">
        <v>363</v>
      </c>
      <c r="AA1372" t="n">
        <v>370</v>
      </c>
      <c r="AB1372" t="n">
        <v>6</v>
      </c>
      <c r="AC1372" t="n">
        <v>6</v>
      </c>
      <c r="AD1372" t="n">
        <v>19</v>
      </c>
      <c r="AE1372" t="n">
        <v>19</v>
      </c>
      <c r="AF1372" t="n">
        <v>6</v>
      </c>
      <c r="AG1372" t="n">
        <v>6</v>
      </c>
      <c r="AH1372" t="n">
        <v>3</v>
      </c>
      <c r="AI1372" t="n">
        <v>3</v>
      </c>
      <c r="AJ1372" t="n">
        <v>3</v>
      </c>
      <c r="AK1372" t="n">
        <v>3</v>
      </c>
      <c r="AL1372" t="n">
        <v>4</v>
      </c>
      <c r="AM1372" t="n">
        <v>4</v>
      </c>
      <c r="AN1372" t="n">
        <v>4</v>
      </c>
      <c r="AO1372" t="n">
        <v>4</v>
      </c>
      <c r="AP1372" t="inlineStr">
        <is>
          <t>No</t>
        </is>
      </c>
      <c r="AQ1372" t="inlineStr">
        <is>
          <t>No</t>
        </is>
      </c>
      <c r="AS1372">
        <f>HYPERLINK("https://creighton-primo.hosted.exlibrisgroup.com/primo-explore/search?tab=default_tab&amp;search_scope=EVERYTHING&amp;vid=01CRU&amp;lang=en_US&amp;offset=0&amp;query=any,contains,991004051009702656","Catalog Record")</f>
        <v/>
      </c>
      <c r="AT1372">
        <f>HYPERLINK("http://www.worldcat.org/oclc/2212883","WorldCat Record")</f>
        <v/>
      </c>
      <c r="AU1372" t="inlineStr">
        <is>
          <t>343122527:eng</t>
        </is>
      </c>
      <c r="AV1372" t="inlineStr">
        <is>
          <t>2212883</t>
        </is>
      </c>
      <c r="AW1372" t="inlineStr">
        <is>
          <t>991004051009702656</t>
        </is>
      </c>
      <c r="AX1372" t="inlineStr">
        <is>
          <t>991004051009702656</t>
        </is>
      </c>
      <c r="AY1372" t="inlineStr">
        <is>
          <t>2255680160002656</t>
        </is>
      </c>
      <c r="AZ1372" t="inlineStr">
        <is>
          <t>BOOK</t>
        </is>
      </c>
      <c r="BB1372" t="inlineStr">
        <is>
          <t>9780878721047</t>
        </is>
      </c>
      <c r="BC1372" t="inlineStr">
        <is>
          <t>32285001051688</t>
        </is>
      </c>
      <c r="BD1372" t="inlineStr">
        <is>
          <t>893331148</t>
        </is>
      </c>
    </row>
    <row r="1373">
      <c r="A1373" t="inlineStr">
        <is>
          <t>No</t>
        </is>
      </c>
      <c r="B1373" t="inlineStr">
        <is>
          <t>HV9104 .K38 1998</t>
        </is>
      </c>
      <c r="C1373" t="inlineStr">
        <is>
          <t>0                      HV 9104000K  38          1998</t>
        </is>
      </c>
      <c r="D1373" t="inlineStr">
        <is>
          <t>When good kids kill / by Michael D. Kelleher.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K1373" t="inlineStr">
        <is>
          <t>Kelleher, Michael D.</t>
        </is>
      </c>
      <c r="L1373" t="inlineStr">
        <is>
          <t>Westport, Conn. : Praeger, 1998.</t>
        </is>
      </c>
      <c r="M1373" t="inlineStr">
        <is>
          <t>1998</t>
        </is>
      </c>
      <c r="O1373" t="inlineStr">
        <is>
          <t>eng</t>
        </is>
      </c>
      <c r="P1373" t="inlineStr">
        <is>
          <t>ctu</t>
        </is>
      </c>
      <c r="R1373" t="inlineStr">
        <is>
          <t xml:space="preserve">HV </t>
        </is>
      </c>
      <c r="S1373" t="n">
        <v>2</v>
      </c>
      <c r="T1373" t="n">
        <v>2</v>
      </c>
      <c r="U1373" t="inlineStr">
        <is>
          <t>2004-04-19</t>
        </is>
      </c>
      <c r="V1373" t="inlineStr">
        <is>
          <t>2004-04-19</t>
        </is>
      </c>
      <c r="W1373" t="inlineStr">
        <is>
          <t>1999-02-09</t>
        </is>
      </c>
      <c r="X1373" t="inlineStr">
        <is>
          <t>1999-02-09</t>
        </is>
      </c>
      <c r="Y1373" t="n">
        <v>1220</v>
      </c>
      <c r="Z1373" t="n">
        <v>1148</v>
      </c>
      <c r="AA1373" t="n">
        <v>1205</v>
      </c>
      <c r="AB1373" t="n">
        <v>12</v>
      </c>
      <c r="AC1373" t="n">
        <v>13</v>
      </c>
      <c r="AD1373" t="n">
        <v>25</v>
      </c>
      <c r="AE1373" t="n">
        <v>25</v>
      </c>
      <c r="AF1373" t="n">
        <v>11</v>
      </c>
      <c r="AG1373" t="n">
        <v>11</v>
      </c>
      <c r="AH1373" t="n">
        <v>4</v>
      </c>
      <c r="AI1373" t="n">
        <v>4</v>
      </c>
      <c r="AJ1373" t="n">
        <v>12</v>
      </c>
      <c r="AK1373" t="n">
        <v>12</v>
      </c>
      <c r="AL1373" t="n">
        <v>4</v>
      </c>
      <c r="AM1373" t="n">
        <v>4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HYPERLINK("http://catalog.hathitrust.org/Record/004011083","HathiTrust Record")</f>
        <v/>
      </c>
      <c r="AS1373">
        <f>HYPERLINK("https://creighton-primo.hosted.exlibrisgroup.com/primo-explore/search?tab=default_tab&amp;search_scope=EVERYTHING&amp;vid=01CRU&amp;lang=en_US&amp;offset=0&amp;query=any,contains,991002936709702656","Catalog Record")</f>
        <v/>
      </c>
      <c r="AT1373">
        <f>HYPERLINK("http://www.worldcat.org/oclc/39060703","WorldCat Record")</f>
        <v/>
      </c>
      <c r="AU1373" t="inlineStr">
        <is>
          <t>2580476:eng</t>
        </is>
      </c>
      <c r="AV1373" t="inlineStr">
        <is>
          <t>39060703</t>
        </is>
      </c>
      <c r="AW1373" t="inlineStr">
        <is>
          <t>991002936709702656</t>
        </is>
      </c>
      <c r="AX1373" t="inlineStr">
        <is>
          <t>991002936709702656</t>
        </is>
      </c>
      <c r="AY1373" t="inlineStr">
        <is>
          <t>2255760930002656</t>
        </is>
      </c>
      <c r="AZ1373" t="inlineStr">
        <is>
          <t>BOOK</t>
        </is>
      </c>
      <c r="BB1373" t="inlineStr">
        <is>
          <t>9780275964108</t>
        </is>
      </c>
      <c r="BC1373" t="inlineStr">
        <is>
          <t>32285003518254</t>
        </is>
      </c>
      <c r="BD1373" t="inlineStr">
        <is>
          <t>893535262</t>
        </is>
      </c>
    </row>
    <row r="1374">
      <c r="A1374" t="inlineStr">
        <is>
          <t>No</t>
        </is>
      </c>
      <c r="B1374" t="inlineStr">
        <is>
          <t>HV9104 .K546 1999</t>
        </is>
      </c>
      <c r="C1374" t="inlineStr">
        <is>
          <t>0                      HV 9104000K  546         1999</t>
        </is>
      </c>
      <c r="D1374" t="inlineStr">
        <is>
          <t>Angry young men : how parents, teachers, and counselors can help "bad boys" become good men / Aaron Kipnis.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K1374" t="inlineStr">
        <is>
          <t>Kipnis, Aaron R.</t>
        </is>
      </c>
      <c r="L1374" t="inlineStr">
        <is>
          <t>San Francisco : Jossey-Bass, c1999.</t>
        </is>
      </c>
      <c r="M1374" t="inlineStr">
        <is>
          <t>1999</t>
        </is>
      </c>
      <c r="N1374" t="inlineStr">
        <is>
          <t>1st ed.</t>
        </is>
      </c>
      <c r="O1374" t="inlineStr">
        <is>
          <t>eng</t>
        </is>
      </c>
      <c r="P1374" t="inlineStr">
        <is>
          <t>cau</t>
        </is>
      </c>
      <c r="R1374" t="inlineStr">
        <is>
          <t xml:space="preserve">HV </t>
        </is>
      </c>
      <c r="S1374" t="n">
        <v>3</v>
      </c>
      <c r="T1374" t="n">
        <v>3</v>
      </c>
      <c r="U1374" t="inlineStr">
        <is>
          <t>2004-10-31</t>
        </is>
      </c>
      <c r="V1374" t="inlineStr">
        <is>
          <t>2004-10-31</t>
        </is>
      </c>
      <c r="W1374" t="inlineStr">
        <is>
          <t>1999-10-07</t>
        </is>
      </c>
      <c r="X1374" t="inlineStr">
        <is>
          <t>1999-10-07</t>
        </is>
      </c>
      <c r="Y1374" t="n">
        <v>861</v>
      </c>
      <c r="Z1374" t="n">
        <v>767</v>
      </c>
      <c r="AA1374" t="n">
        <v>789</v>
      </c>
      <c r="AB1374" t="n">
        <v>6</v>
      </c>
      <c r="AC1374" t="n">
        <v>6</v>
      </c>
      <c r="AD1374" t="n">
        <v>23</v>
      </c>
      <c r="AE1374" t="n">
        <v>23</v>
      </c>
      <c r="AF1374" t="n">
        <v>8</v>
      </c>
      <c r="AG1374" t="n">
        <v>8</v>
      </c>
      <c r="AH1374" t="n">
        <v>4</v>
      </c>
      <c r="AI1374" t="n">
        <v>4</v>
      </c>
      <c r="AJ1374" t="n">
        <v>12</v>
      </c>
      <c r="AK1374" t="n">
        <v>12</v>
      </c>
      <c r="AL1374" t="n">
        <v>5</v>
      </c>
      <c r="AM1374" t="n">
        <v>5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HYPERLINK("http://catalog.hathitrust.org/Record/004053229","HathiTrust Record")</f>
        <v/>
      </c>
      <c r="AS1374">
        <f>HYPERLINK("https://creighton-primo.hosted.exlibrisgroup.com/primo-explore/search?tab=default_tab&amp;search_scope=EVERYTHING&amp;vid=01CRU&amp;lang=en_US&amp;offset=0&amp;query=any,contains,991003014809702656","Catalog Record")</f>
        <v/>
      </c>
      <c r="AT1374">
        <f>HYPERLINK("http://www.worldcat.org/oclc/40990054","WorldCat Record")</f>
        <v/>
      </c>
      <c r="AU1374" t="inlineStr">
        <is>
          <t>20532414:eng</t>
        </is>
      </c>
      <c r="AV1374" t="inlineStr">
        <is>
          <t>40990054</t>
        </is>
      </c>
      <c r="AW1374" t="inlineStr">
        <is>
          <t>991003014809702656</t>
        </is>
      </c>
      <c r="AX1374" t="inlineStr">
        <is>
          <t>991003014809702656</t>
        </is>
      </c>
      <c r="AY1374" t="inlineStr">
        <is>
          <t>2272059590002656</t>
        </is>
      </c>
      <c r="AZ1374" t="inlineStr">
        <is>
          <t>BOOK</t>
        </is>
      </c>
      <c r="BB1374" t="inlineStr">
        <is>
          <t>9780787946043</t>
        </is>
      </c>
      <c r="BC1374" t="inlineStr">
        <is>
          <t>32285003593968</t>
        </is>
      </c>
      <c r="BD1374" t="inlineStr">
        <is>
          <t>893698576</t>
        </is>
      </c>
    </row>
    <row r="1375">
      <c r="A1375" t="inlineStr">
        <is>
          <t>No</t>
        </is>
      </c>
      <c r="B1375" t="inlineStr">
        <is>
          <t>HV9104 .L86 1993</t>
        </is>
      </c>
      <c r="C1375" t="inlineStr">
        <is>
          <t>0                      HV 9104000L  86          1993</t>
        </is>
      </c>
      <c r="D1375" t="inlineStr">
        <is>
          <t>Prevention and control of juvenile delinquency / Richard J. Lundman.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K1375" t="inlineStr">
        <is>
          <t>Lundman, Richard J., 1944-</t>
        </is>
      </c>
      <c r="L1375" t="inlineStr">
        <is>
          <t>New York : Oxford University Press, 1993.</t>
        </is>
      </c>
      <c r="M1375" t="inlineStr">
        <is>
          <t>1993</t>
        </is>
      </c>
      <c r="N1375" t="inlineStr">
        <is>
          <t>2nd ed.</t>
        </is>
      </c>
      <c r="O1375" t="inlineStr">
        <is>
          <t>eng</t>
        </is>
      </c>
      <c r="P1375" t="inlineStr">
        <is>
          <t>nyu</t>
        </is>
      </c>
      <c r="R1375" t="inlineStr">
        <is>
          <t xml:space="preserve">HV </t>
        </is>
      </c>
      <c r="S1375" t="n">
        <v>13</v>
      </c>
      <c r="T1375" t="n">
        <v>13</v>
      </c>
      <c r="U1375" t="inlineStr">
        <is>
          <t>2001-11-13</t>
        </is>
      </c>
      <c r="V1375" t="inlineStr">
        <is>
          <t>2001-11-13</t>
        </is>
      </c>
      <c r="W1375" t="inlineStr">
        <is>
          <t>1996-11-26</t>
        </is>
      </c>
      <c r="X1375" t="inlineStr">
        <is>
          <t>1996-11-26</t>
        </is>
      </c>
      <c r="Y1375" t="n">
        <v>363</v>
      </c>
      <c r="Z1375" t="n">
        <v>255</v>
      </c>
      <c r="AA1375" t="n">
        <v>763</v>
      </c>
      <c r="AB1375" t="n">
        <v>3</v>
      </c>
      <c r="AC1375" t="n">
        <v>7</v>
      </c>
      <c r="AD1375" t="n">
        <v>16</v>
      </c>
      <c r="AE1375" t="n">
        <v>37</v>
      </c>
      <c r="AF1375" t="n">
        <v>6</v>
      </c>
      <c r="AG1375" t="n">
        <v>12</v>
      </c>
      <c r="AH1375" t="n">
        <v>2</v>
      </c>
      <c r="AI1375" t="n">
        <v>6</v>
      </c>
      <c r="AJ1375" t="n">
        <v>7</v>
      </c>
      <c r="AK1375" t="n">
        <v>11</v>
      </c>
      <c r="AL1375" t="n">
        <v>2</v>
      </c>
      <c r="AM1375" t="n">
        <v>5</v>
      </c>
      <c r="AN1375" t="n">
        <v>2</v>
      </c>
      <c r="AO1375" t="n">
        <v>7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HYPERLINK("https://creighton-primo.hosted.exlibrisgroup.com/primo-explore/search?tab=default_tab&amp;search_scope=EVERYTHING&amp;vid=01CRU&amp;lang=en_US&amp;offset=0&amp;query=any,contains,991002006359702656","Catalog Record")</f>
        <v/>
      </c>
      <c r="AT1375">
        <f>HYPERLINK("http://www.worldcat.org/oclc/25509200","WorldCat Record")</f>
        <v/>
      </c>
      <c r="AU1375" t="inlineStr">
        <is>
          <t>3052386:eng</t>
        </is>
      </c>
      <c r="AV1375" t="inlineStr">
        <is>
          <t>25509200</t>
        </is>
      </c>
      <c r="AW1375" t="inlineStr">
        <is>
          <t>991002006359702656</t>
        </is>
      </c>
      <c r="AX1375" t="inlineStr">
        <is>
          <t>991002006359702656</t>
        </is>
      </c>
      <c r="AY1375" t="inlineStr">
        <is>
          <t>2272047200002656</t>
        </is>
      </c>
      <c r="AZ1375" t="inlineStr">
        <is>
          <t>BOOK</t>
        </is>
      </c>
      <c r="BB1375" t="inlineStr">
        <is>
          <t>9780195064070</t>
        </is>
      </c>
      <c r="BC1375" t="inlineStr">
        <is>
          <t>32285002386059</t>
        </is>
      </c>
      <c r="BD1375" t="inlineStr">
        <is>
          <t>893721239</t>
        </is>
      </c>
    </row>
    <row r="1376">
      <c r="A1376" t="inlineStr">
        <is>
          <t>No</t>
        </is>
      </c>
      <c r="B1376" t="inlineStr">
        <is>
          <t>HV9104 .M55 2001</t>
        </is>
      </c>
      <c r="C1376" t="inlineStr">
        <is>
          <t>0                      HV 9104000M  55          2001</t>
        </is>
      </c>
      <c r="D1376" t="inlineStr">
        <is>
          <t>One of the guys : girls, gangs, and gender / Jody Miller.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K1376" t="inlineStr">
        <is>
          <t>Miller, Jody, 1966-</t>
        </is>
      </c>
      <c r="L1376" t="inlineStr">
        <is>
          <t>New York : Oxford University Press, c2001.</t>
        </is>
      </c>
      <c r="M1376" t="inlineStr">
        <is>
          <t>2001</t>
        </is>
      </c>
      <c r="O1376" t="inlineStr">
        <is>
          <t>eng</t>
        </is>
      </c>
      <c r="P1376" t="inlineStr">
        <is>
          <t>nyu</t>
        </is>
      </c>
      <c r="R1376" t="inlineStr">
        <is>
          <t xml:space="preserve">HV </t>
        </is>
      </c>
      <c r="S1376" t="n">
        <v>2</v>
      </c>
      <c r="T1376" t="n">
        <v>2</v>
      </c>
      <c r="U1376" t="inlineStr">
        <is>
          <t>2006-10-26</t>
        </is>
      </c>
      <c r="V1376" t="inlineStr">
        <is>
          <t>2006-10-26</t>
        </is>
      </c>
      <c r="W1376" t="inlineStr">
        <is>
          <t>2001-03-01</t>
        </is>
      </c>
      <c r="X1376" t="inlineStr">
        <is>
          <t>2001-03-01</t>
        </is>
      </c>
      <c r="Y1376" t="n">
        <v>665</v>
      </c>
      <c r="Z1376" t="n">
        <v>565</v>
      </c>
      <c r="AA1376" t="n">
        <v>572</v>
      </c>
      <c r="AB1376" t="n">
        <v>5</v>
      </c>
      <c r="AC1376" t="n">
        <v>5</v>
      </c>
      <c r="AD1376" t="n">
        <v>27</v>
      </c>
      <c r="AE1376" t="n">
        <v>27</v>
      </c>
      <c r="AF1376" t="n">
        <v>9</v>
      </c>
      <c r="AG1376" t="n">
        <v>9</v>
      </c>
      <c r="AH1376" t="n">
        <v>5</v>
      </c>
      <c r="AI1376" t="n">
        <v>5</v>
      </c>
      <c r="AJ1376" t="n">
        <v>13</v>
      </c>
      <c r="AK1376" t="n">
        <v>13</v>
      </c>
      <c r="AL1376" t="n">
        <v>4</v>
      </c>
      <c r="AM1376" t="n">
        <v>4</v>
      </c>
      <c r="AN1376" t="n">
        <v>1</v>
      </c>
      <c r="AO1376" t="n">
        <v>1</v>
      </c>
      <c r="AP1376" t="inlineStr">
        <is>
          <t>No</t>
        </is>
      </c>
      <c r="AQ1376" t="inlineStr">
        <is>
          <t>No</t>
        </is>
      </c>
      <c r="AS1376">
        <f>HYPERLINK("https://creighton-primo.hosted.exlibrisgroup.com/primo-explore/search?tab=default_tab&amp;search_scope=EVERYTHING&amp;vid=01CRU&amp;lang=en_US&amp;offset=0&amp;query=any,contains,991003467659702656","Catalog Record")</f>
        <v/>
      </c>
      <c r="AT1376">
        <f>HYPERLINK("http://www.worldcat.org/oclc/43751649","WorldCat Record")</f>
        <v/>
      </c>
      <c r="AU1376" t="inlineStr">
        <is>
          <t>836962332:eng</t>
        </is>
      </c>
      <c r="AV1376" t="inlineStr">
        <is>
          <t>43751649</t>
        </is>
      </c>
      <c r="AW1376" t="inlineStr">
        <is>
          <t>991003467659702656</t>
        </is>
      </c>
      <c r="AX1376" t="inlineStr">
        <is>
          <t>991003467659702656</t>
        </is>
      </c>
      <c r="AY1376" t="inlineStr">
        <is>
          <t>2264487990002656</t>
        </is>
      </c>
      <c r="AZ1376" t="inlineStr">
        <is>
          <t>BOOK</t>
        </is>
      </c>
      <c r="BB1376" t="inlineStr">
        <is>
          <t>9780195130775</t>
        </is>
      </c>
      <c r="BC1376" t="inlineStr">
        <is>
          <t>32285004298740</t>
        </is>
      </c>
      <c r="BD1376" t="inlineStr">
        <is>
          <t>893252389</t>
        </is>
      </c>
    </row>
    <row r="1377">
      <c r="A1377" t="inlineStr">
        <is>
          <t>No</t>
        </is>
      </c>
      <c r="B1377" t="inlineStr">
        <is>
          <t>HV9104 .S3286 1989</t>
        </is>
      </c>
      <c r="C1377" t="inlineStr">
        <is>
          <t>0                      HV 9104000S  3286        1989</t>
        </is>
      </c>
      <c r="D1377" t="inlineStr">
        <is>
          <t>(In)justice for juveniles : rethinking the best interests of the child / by Ira M. Schwartz ; [foreword by Birch Bayh].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Schwartz, Ira M.</t>
        </is>
      </c>
      <c r="L1377" t="inlineStr">
        <is>
          <t>Lexington, Mass. : Lexington Books, c1989.</t>
        </is>
      </c>
      <c r="M1377" t="inlineStr">
        <is>
          <t>1989</t>
        </is>
      </c>
      <c r="O1377" t="inlineStr">
        <is>
          <t>eng</t>
        </is>
      </c>
      <c r="P1377" t="inlineStr">
        <is>
          <t>mau</t>
        </is>
      </c>
      <c r="R1377" t="inlineStr">
        <is>
          <t xml:space="preserve">HV </t>
        </is>
      </c>
      <c r="S1377" t="n">
        <v>15</v>
      </c>
      <c r="T1377" t="n">
        <v>15</v>
      </c>
      <c r="U1377" t="inlineStr">
        <is>
          <t>2007-04-04</t>
        </is>
      </c>
      <c r="V1377" t="inlineStr">
        <is>
          <t>2007-04-04</t>
        </is>
      </c>
      <c r="W1377" t="inlineStr">
        <is>
          <t>1990-04-25</t>
        </is>
      </c>
      <c r="X1377" t="inlineStr">
        <is>
          <t>1990-04-25</t>
        </is>
      </c>
      <c r="Y1377" t="n">
        <v>998</v>
      </c>
      <c r="Z1377" t="n">
        <v>928</v>
      </c>
      <c r="AA1377" t="n">
        <v>935</v>
      </c>
      <c r="AB1377" t="n">
        <v>12</v>
      </c>
      <c r="AC1377" t="n">
        <v>12</v>
      </c>
      <c r="AD1377" t="n">
        <v>50</v>
      </c>
      <c r="AE1377" t="n">
        <v>50</v>
      </c>
      <c r="AF1377" t="n">
        <v>13</v>
      </c>
      <c r="AG1377" t="n">
        <v>13</v>
      </c>
      <c r="AH1377" t="n">
        <v>10</v>
      </c>
      <c r="AI1377" t="n">
        <v>10</v>
      </c>
      <c r="AJ1377" t="n">
        <v>19</v>
      </c>
      <c r="AK1377" t="n">
        <v>19</v>
      </c>
      <c r="AL1377" t="n">
        <v>9</v>
      </c>
      <c r="AM1377" t="n">
        <v>9</v>
      </c>
      <c r="AN1377" t="n">
        <v>10</v>
      </c>
      <c r="AO1377" t="n">
        <v>10</v>
      </c>
      <c r="AP1377" t="inlineStr">
        <is>
          <t>No</t>
        </is>
      </c>
      <c r="AQ1377" t="inlineStr">
        <is>
          <t>Yes</t>
        </is>
      </c>
      <c r="AR1377">
        <f>HYPERLINK("http://catalog.hathitrust.org/Record/001093937","HathiTrust Record")</f>
        <v/>
      </c>
      <c r="AS1377">
        <f>HYPERLINK("https://creighton-primo.hosted.exlibrisgroup.com/primo-explore/search?tab=default_tab&amp;search_scope=EVERYTHING&amp;vid=01CRU&amp;lang=en_US&amp;offset=0&amp;query=any,contains,991001280069702656","Catalog Record")</f>
        <v/>
      </c>
      <c r="AT1377">
        <f>HYPERLINK("http://www.worldcat.org/oclc/17916650","WorldCat Record")</f>
        <v/>
      </c>
      <c r="AU1377" t="inlineStr">
        <is>
          <t>196070991:eng</t>
        </is>
      </c>
      <c r="AV1377" t="inlineStr">
        <is>
          <t>17916650</t>
        </is>
      </c>
      <c r="AW1377" t="inlineStr">
        <is>
          <t>991001280069702656</t>
        </is>
      </c>
      <c r="AX1377" t="inlineStr">
        <is>
          <t>991001280069702656</t>
        </is>
      </c>
      <c r="AY1377" t="inlineStr">
        <is>
          <t>2270539700002656</t>
        </is>
      </c>
      <c r="AZ1377" t="inlineStr">
        <is>
          <t>BOOK</t>
        </is>
      </c>
      <c r="BB1377" t="inlineStr">
        <is>
          <t>9780669149630</t>
        </is>
      </c>
      <c r="BC1377" t="inlineStr">
        <is>
          <t>32285000116094</t>
        </is>
      </c>
      <c r="BD1377" t="inlineStr">
        <is>
          <t>893803519</t>
        </is>
      </c>
    </row>
    <row r="1378">
      <c r="A1378" t="inlineStr">
        <is>
          <t>No</t>
        </is>
      </c>
      <c r="B1378" t="inlineStr">
        <is>
          <t>HV9104 .S446 1986</t>
        </is>
      </c>
      <c r="C1378" t="inlineStr">
        <is>
          <t>0                      HV 9104000S  446         1986</t>
        </is>
      </c>
      <c r="D1378" t="inlineStr">
        <is>
          <t>Rehabilitating juvenile justice / Charles H. Shireman and Frederic G. Reamer.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K1378" t="inlineStr">
        <is>
          <t>Shireman, Charles H.</t>
        </is>
      </c>
      <c r="L1378" t="inlineStr">
        <is>
          <t>New york : Columbia University Press, 1986.</t>
        </is>
      </c>
      <c r="M1378" t="inlineStr">
        <is>
          <t>1986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HV </t>
        </is>
      </c>
      <c r="S1378" t="n">
        <v>11</v>
      </c>
      <c r="T1378" t="n">
        <v>11</v>
      </c>
      <c r="U1378" t="inlineStr">
        <is>
          <t>2005-03-23</t>
        </is>
      </c>
      <c r="V1378" t="inlineStr">
        <is>
          <t>2005-03-23</t>
        </is>
      </c>
      <c r="W1378" t="inlineStr">
        <is>
          <t>1992-07-15</t>
        </is>
      </c>
      <c r="X1378" t="inlineStr">
        <is>
          <t>1992-07-15</t>
        </is>
      </c>
      <c r="Y1378" t="n">
        <v>759</v>
      </c>
      <c r="Z1378" t="n">
        <v>688</v>
      </c>
      <c r="AA1378" t="n">
        <v>695</v>
      </c>
      <c r="AB1378" t="n">
        <v>5</v>
      </c>
      <c r="AC1378" t="n">
        <v>5</v>
      </c>
      <c r="AD1378" t="n">
        <v>36</v>
      </c>
      <c r="AE1378" t="n">
        <v>36</v>
      </c>
      <c r="AF1378" t="n">
        <v>10</v>
      </c>
      <c r="AG1378" t="n">
        <v>10</v>
      </c>
      <c r="AH1378" t="n">
        <v>7</v>
      </c>
      <c r="AI1378" t="n">
        <v>7</v>
      </c>
      <c r="AJ1378" t="n">
        <v>12</v>
      </c>
      <c r="AK1378" t="n">
        <v>12</v>
      </c>
      <c r="AL1378" t="n">
        <v>4</v>
      </c>
      <c r="AM1378" t="n">
        <v>4</v>
      </c>
      <c r="AN1378" t="n">
        <v>9</v>
      </c>
      <c r="AO1378" t="n">
        <v>9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HYPERLINK("https://creighton-primo.hosted.exlibrisgroup.com/primo-explore/search?tab=default_tab&amp;search_scope=EVERYTHING&amp;vid=01CRU&amp;lang=en_US&amp;offset=0&amp;query=any,contains,991000813939702656","Catalog Record")</f>
        <v/>
      </c>
      <c r="AT1378">
        <f>HYPERLINK("http://www.worldcat.org/oclc/13334110","WorldCat Record")</f>
        <v/>
      </c>
      <c r="AU1378" t="inlineStr">
        <is>
          <t>7569206:eng</t>
        </is>
      </c>
      <c r="AV1378" t="inlineStr">
        <is>
          <t>13334110</t>
        </is>
      </c>
      <c r="AW1378" t="inlineStr">
        <is>
          <t>991000813939702656</t>
        </is>
      </c>
      <c r="AX1378" t="inlineStr">
        <is>
          <t>991000813939702656</t>
        </is>
      </c>
      <c r="AY1378" t="inlineStr">
        <is>
          <t>2261904890002656</t>
        </is>
      </c>
      <c r="AZ1378" t="inlineStr">
        <is>
          <t>BOOK</t>
        </is>
      </c>
      <c r="BB1378" t="inlineStr">
        <is>
          <t>9780231063289</t>
        </is>
      </c>
      <c r="BC1378" t="inlineStr">
        <is>
          <t>32285001183267</t>
        </is>
      </c>
      <c r="BD1378" t="inlineStr">
        <is>
          <t>893515633</t>
        </is>
      </c>
    </row>
    <row r="1379">
      <c r="A1379" t="inlineStr">
        <is>
          <t>No</t>
        </is>
      </c>
      <c r="B1379" t="inlineStr">
        <is>
          <t>HV9104 .S448 2005</t>
        </is>
      </c>
      <c r="C1379" t="inlineStr">
        <is>
          <t>0                      HV 9104000S  448         2005</t>
        </is>
      </c>
      <c r="D1379" t="inlineStr">
        <is>
          <t>Juvenile justice : a reference handbook / Donald J. Shoemaker and Timothy W. Wolfe.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Shoemaker, Donald J.</t>
        </is>
      </c>
      <c r="L1379" t="inlineStr">
        <is>
          <t>Santa Barbara, Calif. : ABC-CLIO, 2005.</t>
        </is>
      </c>
      <c r="M1379" t="inlineStr">
        <is>
          <t>2005</t>
        </is>
      </c>
      <c r="O1379" t="inlineStr">
        <is>
          <t>eng</t>
        </is>
      </c>
      <c r="P1379" t="inlineStr">
        <is>
          <t>cau</t>
        </is>
      </c>
      <c r="Q1379" t="inlineStr">
        <is>
          <t>Contemporary world issues</t>
        </is>
      </c>
      <c r="R1379" t="inlineStr">
        <is>
          <t xml:space="preserve">HV </t>
        </is>
      </c>
      <c r="S1379" t="n">
        <v>8</v>
      </c>
      <c r="T1379" t="n">
        <v>8</v>
      </c>
      <c r="U1379" t="inlineStr">
        <is>
          <t>2009-04-20</t>
        </is>
      </c>
      <c r="V1379" t="inlineStr">
        <is>
          <t>2009-04-20</t>
        </is>
      </c>
      <c r="W1379" t="inlineStr">
        <is>
          <t>2005-11-17</t>
        </is>
      </c>
      <c r="X1379" t="inlineStr">
        <is>
          <t>2005-11-17</t>
        </is>
      </c>
      <c r="Y1379" t="n">
        <v>514</v>
      </c>
      <c r="Z1379" t="n">
        <v>485</v>
      </c>
      <c r="AA1379" t="n">
        <v>1153</v>
      </c>
      <c r="AB1379" t="n">
        <v>5</v>
      </c>
      <c r="AC1379" t="n">
        <v>11</v>
      </c>
      <c r="AD1379" t="n">
        <v>17</v>
      </c>
      <c r="AE1379" t="n">
        <v>34</v>
      </c>
      <c r="AF1379" t="n">
        <v>3</v>
      </c>
      <c r="AG1379" t="n">
        <v>10</v>
      </c>
      <c r="AH1379" t="n">
        <v>3</v>
      </c>
      <c r="AI1379" t="n">
        <v>5</v>
      </c>
      <c r="AJ1379" t="n">
        <v>6</v>
      </c>
      <c r="AK1379" t="n">
        <v>13</v>
      </c>
      <c r="AL1379" t="n">
        <v>3</v>
      </c>
      <c r="AM1379" t="n">
        <v>7</v>
      </c>
      <c r="AN1379" t="n">
        <v>5</v>
      </c>
      <c r="AO1379" t="n">
        <v>7</v>
      </c>
      <c r="AP1379" t="inlineStr">
        <is>
          <t>No</t>
        </is>
      </c>
      <c r="AQ1379" t="inlineStr">
        <is>
          <t>Yes</t>
        </is>
      </c>
      <c r="AR1379">
        <f>HYPERLINK("http://catalog.hathitrust.org/Record/005100930","HathiTrust Record")</f>
        <v/>
      </c>
      <c r="AS1379">
        <f>HYPERLINK("https://creighton-primo.hosted.exlibrisgroup.com/primo-explore/search?tab=default_tab&amp;search_scope=EVERYTHING&amp;vid=01CRU&amp;lang=en_US&amp;offset=0&amp;query=any,contains,991004694869702656","Catalog Record")</f>
        <v/>
      </c>
      <c r="AT1379">
        <f>HYPERLINK("http://www.worldcat.org/oclc/61151388","WorldCat Record")</f>
        <v/>
      </c>
      <c r="AU1379" t="inlineStr">
        <is>
          <t>792939882:eng</t>
        </is>
      </c>
      <c r="AV1379" t="inlineStr">
        <is>
          <t>61151388</t>
        </is>
      </c>
      <c r="AW1379" t="inlineStr">
        <is>
          <t>991004694869702656</t>
        </is>
      </c>
      <c r="AX1379" t="inlineStr">
        <is>
          <t>991004694869702656</t>
        </is>
      </c>
      <c r="AY1379" t="inlineStr">
        <is>
          <t>2262539690002656</t>
        </is>
      </c>
      <c r="AZ1379" t="inlineStr">
        <is>
          <t>BOOK</t>
        </is>
      </c>
      <c r="BB1379" t="inlineStr">
        <is>
          <t>9781576076415</t>
        </is>
      </c>
      <c r="BC1379" t="inlineStr">
        <is>
          <t>32285005147797</t>
        </is>
      </c>
      <c r="BD1379" t="inlineStr">
        <is>
          <t>893344139</t>
        </is>
      </c>
    </row>
    <row r="1380">
      <c r="A1380" t="inlineStr">
        <is>
          <t>No</t>
        </is>
      </c>
      <c r="B1380" t="inlineStr">
        <is>
          <t>HV9104 .S55 1991</t>
        </is>
      </c>
      <c r="C1380" t="inlineStr">
        <is>
          <t>0                      HV 9104000S  55          1991</t>
        </is>
      </c>
      <c r="D1380" t="inlineStr">
        <is>
          <t>Juvenile justice in America / Clifford E. Simonsen.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Simonsen, Clifford E.</t>
        </is>
      </c>
      <c r="L1380" t="inlineStr">
        <is>
          <t>New York : Macmillan Pub. Co. ; Toronto : Collier Macmillan Canada, c1991.</t>
        </is>
      </c>
      <c r="M1380" t="inlineStr">
        <is>
          <t>1991</t>
        </is>
      </c>
      <c r="N1380" t="inlineStr">
        <is>
          <t>3rd ed.</t>
        </is>
      </c>
      <c r="O1380" t="inlineStr">
        <is>
          <t>eng</t>
        </is>
      </c>
      <c r="P1380" t="inlineStr">
        <is>
          <t>nyu</t>
        </is>
      </c>
      <c r="R1380" t="inlineStr">
        <is>
          <t xml:space="preserve">HV </t>
        </is>
      </c>
      <c r="S1380" t="n">
        <v>36</v>
      </c>
      <c r="T1380" t="n">
        <v>36</v>
      </c>
      <c r="U1380" t="inlineStr">
        <is>
          <t>2008-03-19</t>
        </is>
      </c>
      <c r="V1380" t="inlineStr">
        <is>
          <t>2008-03-19</t>
        </is>
      </c>
      <c r="W1380" t="inlineStr">
        <is>
          <t>1991-04-16</t>
        </is>
      </c>
      <c r="X1380" t="inlineStr">
        <is>
          <t>1991-04-16</t>
        </is>
      </c>
      <c r="Y1380" t="n">
        <v>250</v>
      </c>
      <c r="Z1380" t="n">
        <v>232</v>
      </c>
      <c r="AA1380" t="n">
        <v>488</v>
      </c>
      <c r="AB1380" t="n">
        <v>1</v>
      </c>
      <c r="AC1380" t="n">
        <v>5</v>
      </c>
      <c r="AD1380" t="n">
        <v>12</v>
      </c>
      <c r="AE1380" t="n">
        <v>29</v>
      </c>
      <c r="AF1380" t="n">
        <v>1</v>
      </c>
      <c r="AG1380" t="n">
        <v>6</v>
      </c>
      <c r="AH1380" t="n">
        <v>2</v>
      </c>
      <c r="AI1380" t="n">
        <v>5</v>
      </c>
      <c r="AJ1380" t="n">
        <v>3</v>
      </c>
      <c r="AK1380" t="n">
        <v>6</v>
      </c>
      <c r="AL1380" t="n">
        <v>0</v>
      </c>
      <c r="AM1380" t="n">
        <v>3</v>
      </c>
      <c r="AN1380" t="n">
        <v>7</v>
      </c>
      <c r="AO1380" t="n">
        <v>13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HYPERLINK("http://catalog.hathitrust.org/Record/002712167","HathiTrust Record")</f>
        <v/>
      </c>
      <c r="AS1380">
        <f>HYPERLINK("https://creighton-primo.hosted.exlibrisgroup.com/primo-explore/search?tab=default_tab&amp;search_scope=EVERYTHING&amp;vid=01CRU&amp;lang=en_US&amp;offset=0&amp;query=any,contains,991001628149702656","Catalog Record")</f>
        <v/>
      </c>
      <c r="AT1380">
        <f>HYPERLINK("http://www.worldcat.org/oclc/20854085","WorldCat Record")</f>
        <v/>
      </c>
      <c r="AU1380" t="inlineStr">
        <is>
          <t>14911074:eng</t>
        </is>
      </c>
      <c r="AV1380" t="inlineStr">
        <is>
          <t>20854085</t>
        </is>
      </c>
      <c r="AW1380" t="inlineStr">
        <is>
          <t>991001628149702656</t>
        </is>
      </c>
      <c r="AX1380" t="inlineStr">
        <is>
          <t>991001628149702656</t>
        </is>
      </c>
      <c r="AY1380" t="inlineStr">
        <is>
          <t>2272131870002656</t>
        </is>
      </c>
      <c r="AZ1380" t="inlineStr">
        <is>
          <t>BOOK</t>
        </is>
      </c>
      <c r="BB1380" t="inlineStr">
        <is>
          <t>9780024105318</t>
        </is>
      </c>
      <c r="BC1380" t="inlineStr">
        <is>
          <t>32285000567569</t>
        </is>
      </c>
      <c r="BD1380" t="inlineStr">
        <is>
          <t>893238211</t>
        </is>
      </c>
    </row>
    <row r="1381">
      <c r="A1381" t="inlineStr">
        <is>
          <t>No</t>
        </is>
      </c>
      <c r="B1381" t="inlineStr">
        <is>
          <t>HV9105.T44 G534 2005</t>
        </is>
      </c>
      <c r="C1381" t="inlineStr">
        <is>
          <t>0                      HV 9105000T  44                 G  534         2005</t>
        </is>
      </c>
      <c r="D1381" t="inlineStr">
        <is>
          <t>Last chance in Texas : the redemption of criminal youth / John Hubner.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Hubner, John.</t>
        </is>
      </c>
      <c r="L1381" t="inlineStr">
        <is>
          <t>New York : Random House, c2005.</t>
        </is>
      </c>
      <c r="M1381" t="inlineStr">
        <is>
          <t>2005</t>
        </is>
      </c>
      <c r="N1381" t="inlineStr">
        <is>
          <t>1st ed.</t>
        </is>
      </c>
      <c r="O1381" t="inlineStr">
        <is>
          <t>eng</t>
        </is>
      </c>
      <c r="P1381" t="inlineStr">
        <is>
          <t>nyu</t>
        </is>
      </c>
      <c r="R1381" t="inlineStr">
        <is>
          <t xml:space="preserve">HV </t>
        </is>
      </c>
      <c r="S1381" t="n">
        <v>1</v>
      </c>
      <c r="T1381" t="n">
        <v>1</v>
      </c>
      <c r="U1381" t="inlineStr">
        <is>
          <t>2005-09-27</t>
        </is>
      </c>
      <c r="V1381" t="inlineStr">
        <is>
          <t>2005-09-27</t>
        </is>
      </c>
      <c r="W1381" t="inlineStr">
        <is>
          <t>2005-09-27</t>
        </is>
      </c>
      <c r="X1381" t="inlineStr">
        <is>
          <t>2005-09-27</t>
        </is>
      </c>
      <c r="Y1381" t="n">
        <v>775</v>
      </c>
      <c r="Z1381" t="n">
        <v>761</v>
      </c>
      <c r="AA1381" t="n">
        <v>885</v>
      </c>
      <c r="AB1381" t="n">
        <v>5</v>
      </c>
      <c r="AC1381" t="n">
        <v>6</v>
      </c>
      <c r="AD1381" t="n">
        <v>18</v>
      </c>
      <c r="AE1381" t="n">
        <v>21</v>
      </c>
      <c r="AF1381" t="n">
        <v>4</v>
      </c>
      <c r="AG1381" t="n">
        <v>5</v>
      </c>
      <c r="AH1381" t="n">
        <v>5</v>
      </c>
      <c r="AI1381" t="n">
        <v>5</v>
      </c>
      <c r="AJ1381" t="n">
        <v>8</v>
      </c>
      <c r="AK1381" t="n">
        <v>9</v>
      </c>
      <c r="AL1381" t="n">
        <v>4</v>
      </c>
      <c r="AM1381" t="n">
        <v>5</v>
      </c>
      <c r="AN1381" t="n">
        <v>1</v>
      </c>
      <c r="AO1381" t="n">
        <v>1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HYPERLINK("http://catalog.hathitrust.org/Record/005071035","HathiTrust Record")</f>
        <v/>
      </c>
      <c r="AS1381">
        <f>HYPERLINK("https://creighton-primo.hosted.exlibrisgroup.com/primo-explore/search?tab=default_tab&amp;search_scope=EVERYTHING&amp;vid=01CRU&amp;lang=en_US&amp;offset=0&amp;query=any,contains,991004614449702656","Catalog Record")</f>
        <v/>
      </c>
      <c r="AT1381">
        <f>HYPERLINK("http://www.worldcat.org/oclc/58386382","WorldCat Record")</f>
        <v/>
      </c>
      <c r="AU1381" t="inlineStr">
        <is>
          <t>864881870:eng</t>
        </is>
      </c>
      <c r="AV1381" t="inlineStr">
        <is>
          <t>58386382</t>
        </is>
      </c>
      <c r="AW1381" t="inlineStr">
        <is>
          <t>991004614449702656</t>
        </is>
      </c>
      <c r="AX1381" t="inlineStr">
        <is>
          <t>991004614449702656</t>
        </is>
      </c>
      <c r="AY1381" t="inlineStr">
        <is>
          <t>2261440490002656</t>
        </is>
      </c>
      <c r="AZ1381" t="inlineStr">
        <is>
          <t>BOOK</t>
        </is>
      </c>
      <c r="BB1381" t="inlineStr">
        <is>
          <t>9780375508097</t>
        </is>
      </c>
      <c r="BC1381" t="inlineStr">
        <is>
          <t>32285005086003</t>
        </is>
      </c>
      <c r="BD1381" t="inlineStr">
        <is>
          <t>893446302</t>
        </is>
      </c>
    </row>
    <row r="1382">
      <c r="A1382" t="inlineStr">
        <is>
          <t>No</t>
        </is>
      </c>
      <c r="B1382" t="inlineStr">
        <is>
          <t>HV9106.N6 Y2</t>
        </is>
      </c>
      <c r="C1382" t="inlineStr">
        <is>
          <t>0                      HV 9106000N  6                  Y  2</t>
        </is>
      </c>
      <c r="D1382" t="inlineStr">
        <is>
          <t>The violent gang.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Yablonsky, Lewis.</t>
        </is>
      </c>
      <c r="L1382" t="inlineStr">
        <is>
          <t>New York : Macmillan, 1963, 1962.</t>
        </is>
      </c>
      <c r="M1382" t="inlineStr">
        <is>
          <t>1962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HV </t>
        </is>
      </c>
      <c r="S1382" t="n">
        <v>12</v>
      </c>
      <c r="T1382" t="n">
        <v>12</v>
      </c>
      <c r="U1382" t="inlineStr">
        <is>
          <t>2010-09-29</t>
        </is>
      </c>
      <c r="V1382" t="inlineStr">
        <is>
          <t>2010-09-29</t>
        </is>
      </c>
      <c r="W1382" t="inlineStr">
        <is>
          <t>1991-12-09</t>
        </is>
      </c>
      <c r="X1382" t="inlineStr">
        <is>
          <t>1991-12-09</t>
        </is>
      </c>
      <c r="Y1382" t="n">
        <v>584</v>
      </c>
      <c r="Z1382" t="n">
        <v>495</v>
      </c>
      <c r="AA1382" t="n">
        <v>788</v>
      </c>
      <c r="AB1382" t="n">
        <v>5</v>
      </c>
      <c r="AC1382" t="n">
        <v>7</v>
      </c>
      <c r="AD1382" t="n">
        <v>23</v>
      </c>
      <c r="AE1382" t="n">
        <v>36</v>
      </c>
      <c r="AF1382" t="n">
        <v>8</v>
      </c>
      <c r="AG1382" t="n">
        <v>14</v>
      </c>
      <c r="AH1382" t="n">
        <v>4</v>
      </c>
      <c r="AI1382" t="n">
        <v>8</v>
      </c>
      <c r="AJ1382" t="n">
        <v>10</v>
      </c>
      <c r="AK1382" t="n">
        <v>16</v>
      </c>
      <c r="AL1382" t="n">
        <v>4</v>
      </c>
      <c r="AM1382" t="n">
        <v>6</v>
      </c>
      <c r="AN1382" t="n">
        <v>2</v>
      </c>
      <c r="AO1382" t="n">
        <v>3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HYPERLINK("http://catalog.hathitrust.org/Record/000814287","HathiTrust Record")</f>
        <v/>
      </c>
      <c r="AS1382">
        <f>HYPERLINK("https://creighton-primo.hosted.exlibrisgroup.com/primo-explore/search?tab=default_tab&amp;search_scope=EVERYTHING&amp;vid=01CRU&amp;lang=en_US&amp;offset=0&amp;query=any,contains,991002095619702656","Catalog Record")</f>
        <v/>
      </c>
      <c r="AT1382">
        <f>HYPERLINK("http://www.worldcat.org/oclc/265526","WorldCat Record")</f>
        <v/>
      </c>
      <c r="AU1382" t="inlineStr">
        <is>
          <t>1236140:eng</t>
        </is>
      </c>
      <c r="AV1382" t="inlineStr">
        <is>
          <t>265526</t>
        </is>
      </c>
      <c r="AW1382" t="inlineStr">
        <is>
          <t>991002095619702656</t>
        </is>
      </c>
      <c r="AX1382" t="inlineStr">
        <is>
          <t>991002095619702656</t>
        </is>
      </c>
      <c r="AY1382" t="inlineStr">
        <is>
          <t>2267817650002656</t>
        </is>
      </c>
      <c r="AZ1382" t="inlineStr">
        <is>
          <t>BOOK</t>
        </is>
      </c>
      <c r="BC1382" t="inlineStr">
        <is>
          <t>32285000848415</t>
        </is>
      </c>
      <c r="BD1382" t="inlineStr">
        <is>
          <t>893322554</t>
        </is>
      </c>
    </row>
    <row r="1383">
      <c r="A1383" t="inlineStr">
        <is>
          <t>No</t>
        </is>
      </c>
      <c r="B1383" t="inlineStr">
        <is>
          <t>HV9146.L65 S48 1999</t>
        </is>
      </c>
      <c r="C1383" t="inlineStr">
        <is>
          <t>0                      HV 9146000L  65                 S  48          1999</t>
        </is>
      </c>
      <c r="D1383" t="inlineStr">
        <is>
          <t>Artful dodgers : youth and crime in early nineteenth-century London / Heather Shore.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Shore, Heather, 1964-</t>
        </is>
      </c>
      <c r="L1383" t="inlineStr">
        <is>
          <t>Rochester, NY : Royal Historical Society/Boydell Press, 1999.</t>
        </is>
      </c>
      <c r="M1383" t="inlineStr">
        <is>
          <t>1999</t>
        </is>
      </c>
      <c r="O1383" t="inlineStr">
        <is>
          <t>eng</t>
        </is>
      </c>
      <c r="P1383" t="inlineStr">
        <is>
          <t>nyu</t>
        </is>
      </c>
      <c r="Q1383" t="inlineStr">
        <is>
          <t>Royal Historical Society studies in history. New series, 0269-2244</t>
        </is>
      </c>
      <c r="R1383" t="inlineStr">
        <is>
          <t xml:space="preserve">HV </t>
        </is>
      </c>
      <c r="S1383" t="n">
        <v>1</v>
      </c>
      <c r="T1383" t="n">
        <v>1</v>
      </c>
      <c r="U1383" t="inlineStr">
        <is>
          <t>2001-01-09</t>
        </is>
      </c>
      <c r="V1383" t="inlineStr">
        <is>
          <t>2001-01-09</t>
        </is>
      </c>
      <c r="W1383" t="inlineStr">
        <is>
          <t>2001-01-09</t>
        </is>
      </c>
      <c r="X1383" t="inlineStr">
        <is>
          <t>2001-01-09</t>
        </is>
      </c>
      <c r="Y1383" t="n">
        <v>262</v>
      </c>
      <c r="Z1383" t="n">
        <v>200</v>
      </c>
      <c r="AA1383" t="n">
        <v>234</v>
      </c>
      <c r="AB1383" t="n">
        <v>2</v>
      </c>
      <c r="AC1383" t="n">
        <v>2</v>
      </c>
      <c r="AD1383" t="n">
        <v>11</v>
      </c>
      <c r="AE1383" t="n">
        <v>15</v>
      </c>
      <c r="AF1383" t="n">
        <v>4</v>
      </c>
      <c r="AG1383" t="n">
        <v>6</v>
      </c>
      <c r="AH1383" t="n">
        <v>4</v>
      </c>
      <c r="AI1383" t="n">
        <v>5</v>
      </c>
      <c r="AJ1383" t="n">
        <v>6</v>
      </c>
      <c r="AK1383" t="n">
        <v>7</v>
      </c>
      <c r="AL1383" t="n">
        <v>1</v>
      </c>
      <c r="AM1383" t="n">
        <v>1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No</t>
        </is>
      </c>
      <c r="AS1383">
        <f>HYPERLINK("https://creighton-primo.hosted.exlibrisgroup.com/primo-explore/search?tab=default_tab&amp;search_scope=EVERYTHING&amp;vid=01CRU&amp;lang=en_US&amp;offset=0&amp;query=any,contains,991003300209702656","Catalog Record")</f>
        <v/>
      </c>
      <c r="AT1383">
        <f>HYPERLINK("http://www.worldcat.org/oclc/40754937","WorldCat Record")</f>
        <v/>
      </c>
      <c r="AU1383" t="inlineStr">
        <is>
          <t>836953946:eng</t>
        </is>
      </c>
      <c r="AV1383" t="inlineStr">
        <is>
          <t>40754937</t>
        </is>
      </c>
      <c r="AW1383" t="inlineStr">
        <is>
          <t>991003300209702656</t>
        </is>
      </c>
      <c r="AX1383" t="inlineStr">
        <is>
          <t>991003300209702656</t>
        </is>
      </c>
      <c r="AY1383" t="inlineStr">
        <is>
          <t>2255754910002656</t>
        </is>
      </c>
      <c r="AZ1383" t="inlineStr">
        <is>
          <t>BOOK</t>
        </is>
      </c>
      <c r="BB1383" t="inlineStr">
        <is>
          <t>9780861932429</t>
        </is>
      </c>
      <c r="BC1383" t="inlineStr">
        <is>
          <t>32285004281498</t>
        </is>
      </c>
      <c r="BD1383" t="inlineStr">
        <is>
          <t>893330179</t>
        </is>
      </c>
    </row>
    <row r="1384">
      <c r="A1384" t="inlineStr">
        <is>
          <t>No</t>
        </is>
      </c>
      <c r="B1384" t="inlineStr">
        <is>
          <t>HV9275 .G5</t>
        </is>
      </c>
      <c r="C1384" t="inlineStr">
        <is>
          <t>0                      HV 9275000G  5</t>
        </is>
      </c>
      <c r="D1384" t="inlineStr">
        <is>
          <t>Changing the lawbreaker : the treatment of delinquents and criminals / Don C. Gibbons.</t>
        </is>
      </c>
      <c r="F1384" t="inlineStr">
        <is>
          <t>No</t>
        </is>
      </c>
      <c r="G1384" t="inlineStr">
        <is>
          <t>1</t>
        </is>
      </c>
      <c r="H1384" t="inlineStr">
        <is>
          <t>Yes</t>
        </is>
      </c>
      <c r="I1384" t="inlineStr">
        <is>
          <t>No</t>
        </is>
      </c>
      <c r="J1384" t="inlineStr">
        <is>
          <t>0</t>
        </is>
      </c>
      <c r="K1384" t="inlineStr">
        <is>
          <t>Gibbons, Don C.</t>
        </is>
      </c>
      <c r="L1384" t="inlineStr">
        <is>
          <t>Englewood Cliffs, N.J. : Prentice-Hall, c1965.</t>
        </is>
      </c>
      <c r="M1384" t="inlineStr">
        <is>
          <t>1965</t>
        </is>
      </c>
      <c r="O1384" t="inlineStr">
        <is>
          <t>eng</t>
        </is>
      </c>
      <c r="P1384" t="inlineStr">
        <is>
          <t>nju</t>
        </is>
      </c>
      <c r="R1384" t="inlineStr">
        <is>
          <t xml:space="preserve">HV </t>
        </is>
      </c>
      <c r="S1384" t="n">
        <v>3</v>
      </c>
      <c r="T1384" t="n">
        <v>3</v>
      </c>
      <c r="U1384" t="inlineStr">
        <is>
          <t>2007-02-17</t>
        </is>
      </c>
      <c r="V1384" t="inlineStr">
        <is>
          <t>2007-02-17</t>
        </is>
      </c>
      <c r="W1384" t="inlineStr">
        <is>
          <t>1997-08-26</t>
        </is>
      </c>
      <c r="X1384" t="inlineStr">
        <is>
          <t>2006-06-15</t>
        </is>
      </c>
      <c r="Y1384" t="n">
        <v>711</v>
      </c>
      <c r="Z1384" t="n">
        <v>591</v>
      </c>
      <c r="AA1384" t="n">
        <v>691</v>
      </c>
      <c r="AB1384" t="n">
        <v>12</v>
      </c>
      <c r="AC1384" t="n">
        <v>12</v>
      </c>
      <c r="AD1384" t="n">
        <v>35</v>
      </c>
      <c r="AE1384" t="n">
        <v>37</v>
      </c>
      <c r="AF1384" t="n">
        <v>11</v>
      </c>
      <c r="AG1384" t="n">
        <v>12</v>
      </c>
      <c r="AH1384" t="n">
        <v>5</v>
      </c>
      <c r="AI1384" t="n">
        <v>6</v>
      </c>
      <c r="AJ1384" t="n">
        <v>11</v>
      </c>
      <c r="AK1384" t="n">
        <v>12</v>
      </c>
      <c r="AL1384" t="n">
        <v>8</v>
      </c>
      <c r="AM1384" t="n">
        <v>8</v>
      </c>
      <c r="AN1384" t="n">
        <v>5</v>
      </c>
      <c r="AO1384" t="n">
        <v>5</v>
      </c>
      <c r="AP1384" t="inlineStr">
        <is>
          <t>No</t>
        </is>
      </c>
      <c r="AQ1384" t="inlineStr">
        <is>
          <t>Yes</t>
        </is>
      </c>
      <c r="AR1384">
        <f>HYPERLINK("http://catalog.hathitrust.org/Record/006205225","HathiTrust Record")</f>
        <v/>
      </c>
      <c r="AS1384">
        <f>HYPERLINK("https://creighton-primo.hosted.exlibrisgroup.com/primo-explore/search?tab=default_tab&amp;search_scope=EVERYTHING&amp;vid=01CRU&amp;lang=en_US&amp;offset=0&amp;query=any,contains,991001628689702656","Catalog Record")</f>
        <v/>
      </c>
      <c r="AT1384">
        <f>HYPERLINK("http://www.worldcat.org/oclc/265520","WorldCat Record")</f>
        <v/>
      </c>
      <c r="AU1384" t="inlineStr">
        <is>
          <t>512802:eng</t>
        </is>
      </c>
      <c r="AV1384" t="inlineStr">
        <is>
          <t>265520</t>
        </is>
      </c>
      <c r="AW1384" t="inlineStr">
        <is>
          <t>991001628689702656</t>
        </is>
      </c>
      <c r="AX1384" t="inlineStr">
        <is>
          <t>991001628689702656</t>
        </is>
      </c>
      <c r="AY1384" t="inlineStr">
        <is>
          <t>2267817580002656</t>
        </is>
      </c>
      <c r="AZ1384" t="inlineStr">
        <is>
          <t>BOOK</t>
        </is>
      </c>
      <c r="BC1384" t="inlineStr">
        <is>
          <t>32285003190021</t>
        </is>
      </c>
      <c r="BD1384" t="inlineStr">
        <is>
          <t>893503540</t>
        </is>
      </c>
    </row>
    <row r="1385">
      <c r="A1385" t="inlineStr">
        <is>
          <t>No</t>
        </is>
      </c>
      <c r="B1385" t="inlineStr">
        <is>
          <t>HV9275 .O74</t>
        </is>
      </c>
      <c r="C1385" t="inlineStr">
        <is>
          <t>0                      HV 9275000O  74</t>
        </is>
      </c>
      <c r="D1385" t="inlineStr">
        <is>
          <t>Justice, punishment, treatment : the correctional process / Leonard Orland ; introduction by Abraham S. Goldstein.</t>
        </is>
      </c>
      <c r="F1385" t="inlineStr">
        <is>
          <t>No</t>
        </is>
      </c>
      <c r="G1385" t="inlineStr">
        <is>
          <t>1</t>
        </is>
      </c>
      <c r="H1385" t="inlineStr">
        <is>
          <t>Yes</t>
        </is>
      </c>
      <c r="I1385" t="inlineStr">
        <is>
          <t>No</t>
        </is>
      </c>
      <c r="J1385" t="inlineStr">
        <is>
          <t>0</t>
        </is>
      </c>
      <c r="K1385" t="inlineStr">
        <is>
          <t>Orland, Leonard.</t>
        </is>
      </c>
      <c r="L1385" t="inlineStr">
        <is>
          <t>New York : Free Press, 1973.</t>
        </is>
      </c>
      <c r="M1385" t="inlineStr">
        <is>
          <t>1973</t>
        </is>
      </c>
      <c r="O1385" t="inlineStr">
        <is>
          <t>eng</t>
        </is>
      </c>
      <c r="P1385" t="inlineStr">
        <is>
          <t>nyu</t>
        </is>
      </c>
      <c r="R1385" t="inlineStr">
        <is>
          <t xml:space="preserve">HV </t>
        </is>
      </c>
      <c r="S1385" t="n">
        <v>2</v>
      </c>
      <c r="T1385" t="n">
        <v>2</v>
      </c>
      <c r="U1385" t="inlineStr">
        <is>
          <t>2007-02-17</t>
        </is>
      </c>
      <c r="V1385" t="inlineStr">
        <is>
          <t>2007-02-17</t>
        </is>
      </c>
      <c r="W1385" t="inlineStr">
        <is>
          <t>1995-03-21</t>
        </is>
      </c>
      <c r="X1385" t="inlineStr">
        <is>
          <t>2006-05-15</t>
        </is>
      </c>
      <c r="Y1385" t="n">
        <v>702</v>
      </c>
      <c r="Z1385" t="n">
        <v>610</v>
      </c>
      <c r="AA1385" t="n">
        <v>617</v>
      </c>
      <c r="AB1385" t="n">
        <v>5</v>
      </c>
      <c r="AC1385" t="n">
        <v>5</v>
      </c>
      <c r="AD1385" t="n">
        <v>38</v>
      </c>
      <c r="AE1385" t="n">
        <v>38</v>
      </c>
      <c r="AF1385" t="n">
        <v>6</v>
      </c>
      <c r="AG1385" t="n">
        <v>6</v>
      </c>
      <c r="AH1385" t="n">
        <v>4</v>
      </c>
      <c r="AI1385" t="n">
        <v>4</v>
      </c>
      <c r="AJ1385" t="n">
        <v>10</v>
      </c>
      <c r="AK1385" t="n">
        <v>10</v>
      </c>
      <c r="AL1385" t="n">
        <v>2</v>
      </c>
      <c r="AM1385" t="n">
        <v>2</v>
      </c>
      <c r="AN1385" t="n">
        <v>21</v>
      </c>
      <c r="AO1385" t="n">
        <v>21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HYPERLINK("http://catalog.hathitrust.org/Record/001135938","HathiTrust Record")</f>
        <v/>
      </c>
      <c r="AS1385">
        <f>HYPERLINK("https://creighton-primo.hosted.exlibrisgroup.com/primo-explore/search?tab=default_tab&amp;search_scope=EVERYTHING&amp;vid=01CRU&amp;lang=en_US&amp;offset=0&amp;query=any,contains,991001647589702656","Catalog Record")</f>
        <v/>
      </c>
      <c r="AT1385">
        <f>HYPERLINK("http://www.worldcat.org/oclc/1288989","WorldCat Record")</f>
        <v/>
      </c>
      <c r="AU1385" t="inlineStr">
        <is>
          <t>400712:eng</t>
        </is>
      </c>
      <c r="AV1385" t="inlineStr">
        <is>
          <t>1288989</t>
        </is>
      </c>
      <c r="AW1385" t="inlineStr">
        <is>
          <t>991001647589702656</t>
        </is>
      </c>
      <c r="AX1385" t="inlineStr">
        <is>
          <t>991001647589702656</t>
        </is>
      </c>
      <c r="AY1385" t="inlineStr">
        <is>
          <t>2266818950002656</t>
        </is>
      </c>
      <c r="AZ1385" t="inlineStr">
        <is>
          <t>BOOK</t>
        </is>
      </c>
      <c r="BC1385" t="inlineStr">
        <is>
          <t>32285002012887</t>
        </is>
      </c>
      <c r="BD1385" t="inlineStr">
        <is>
          <t>893872675</t>
        </is>
      </c>
    </row>
    <row r="1386">
      <c r="A1386" t="inlineStr">
        <is>
          <t>No</t>
        </is>
      </c>
      <c r="B1386" t="inlineStr">
        <is>
          <t>HV9275 .W36 2007</t>
        </is>
      </c>
      <c r="C1386" t="inlineStr">
        <is>
          <t>0                      HV 9275000W  36          2007</t>
        </is>
      </c>
      <c r="D1386" t="inlineStr">
        <is>
          <t>Rehabilitation : beyond the risk paradigm / Tony Ward and Shadd Maruna.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Ward, Tony, 1954 March 17-</t>
        </is>
      </c>
      <c r="L1386" t="inlineStr">
        <is>
          <t>London ; New York : Routledge, 2007.</t>
        </is>
      </c>
      <c r="M1386" t="inlineStr">
        <is>
          <t>2007</t>
        </is>
      </c>
      <c r="O1386" t="inlineStr">
        <is>
          <t>eng</t>
        </is>
      </c>
      <c r="P1386" t="inlineStr">
        <is>
          <t>enk</t>
        </is>
      </c>
      <c r="Q1386" t="inlineStr">
        <is>
          <t>Key ideas in criminology</t>
        </is>
      </c>
      <c r="R1386" t="inlineStr">
        <is>
          <t xml:space="preserve">HV </t>
        </is>
      </c>
      <c r="S1386" t="n">
        <v>1</v>
      </c>
      <c r="T1386" t="n">
        <v>1</v>
      </c>
      <c r="U1386" t="inlineStr">
        <is>
          <t>2009-04-01</t>
        </is>
      </c>
      <c r="V1386" t="inlineStr">
        <is>
          <t>2009-04-01</t>
        </is>
      </c>
      <c r="W1386" t="inlineStr">
        <is>
          <t>2009-04-01</t>
        </is>
      </c>
      <c r="X1386" t="inlineStr">
        <is>
          <t>2009-04-01</t>
        </is>
      </c>
      <c r="Y1386" t="n">
        <v>248</v>
      </c>
      <c r="Z1386" t="n">
        <v>122</v>
      </c>
      <c r="AA1386" t="n">
        <v>278</v>
      </c>
      <c r="AB1386" t="n">
        <v>2</v>
      </c>
      <c r="AC1386" t="n">
        <v>2</v>
      </c>
      <c r="AD1386" t="n">
        <v>4</v>
      </c>
      <c r="AE1386" t="n">
        <v>4</v>
      </c>
      <c r="AF1386" t="n">
        <v>1</v>
      </c>
      <c r="AG1386" t="n">
        <v>1</v>
      </c>
      <c r="AH1386" t="n">
        <v>0</v>
      </c>
      <c r="AI1386" t="n">
        <v>0</v>
      </c>
      <c r="AJ1386" t="n">
        <v>2</v>
      </c>
      <c r="AK1386" t="n">
        <v>2</v>
      </c>
      <c r="AL1386" t="n">
        <v>1</v>
      </c>
      <c r="AM1386" t="n">
        <v>1</v>
      </c>
      <c r="AN1386" t="n">
        <v>1</v>
      </c>
      <c r="AO1386" t="n">
        <v>1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HYPERLINK("https://creighton-primo.hosted.exlibrisgroup.com/primo-explore/search?tab=default_tab&amp;search_scope=EVERYTHING&amp;vid=01CRU&amp;lang=en_US&amp;offset=0&amp;query=any,contains,991005301389702656","Catalog Record")</f>
        <v/>
      </c>
      <c r="AT1386">
        <f>HYPERLINK("http://www.worldcat.org/oclc/73993512","WorldCat Record")</f>
        <v/>
      </c>
      <c r="AU1386" t="inlineStr">
        <is>
          <t>796491223:eng</t>
        </is>
      </c>
      <c r="AV1386" t="inlineStr">
        <is>
          <t>73993512</t>
        </is>
      </c>
      <c r="AW1386" t="inlineStr">
        <is>
          <t>991005301389702656</t>
        </is>
      </c>
      <c r="AX1386" t="inlineStr">
        <is>
          <t>991005301389702656</t>
        </is>
      </c>
      <c r="AY1386" t="inlineStr">
        <is>
          <t>2263308640002656</t>
        </is>
      </c>
      <c r="AZ1386" t="inlineStr">
        <is>
          <t>BOOK</t>
        </is>
      </c>
      <c r="BB1386" t="inlineStr">
        <is>
          <t>9780415386425</t>
        </is>
      </c>
      <c r="BC1386" t="inlineStr">
        <is>
          <t>32285005512487</t>
        </is>
      </c>
      <c r="BD1386" t="inlineStr">
        <is>
          <t>893594808</t>
        </is>
      </c>
    </row>
    <row r="1387">
      <c r="A1387" t="inlineStr">
        <is>
          <t>No</t>
        </is>
      </c>
      <c r="B1387" t="inlineStr">
        <is>
          <t>HV9276 .L96 2001</t>
        </is>
      </c>
      <c r="C1387" t="inlineStr">
        <is>
          <t>0                      HV 9276000L  96          2001</t>
        </is>
      </c>
      <c r="D1387" t="inlineStr">
        <is>
          <t>Prisoner reentry in perspective / James P. Lynch, William J. Sabol.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K1387" t="inlineStr">
        <is>
          <t>Lynch, James P. (James Patrick), 1949-</t>
        </is>
      </c>
      <c r="L1387" t="inlineStr">
        <is>
          <t>Washington, D.C. : Urban Institute, c2001.</t>
        </is>
      </c>
      <c r="M1387" t="inlineStr">
        <is>
          <t>2001</t>
        </is>
      </c>
      <c r="O1387" t="inlineStr">
        <is>
          <t>eng</t>
        </is>
      </c>
      <c r="P1387" t="inlineStr">
        <is>
          <t>dcu</t>
        </is>
      </c>
      <c r="Q1387" t="inlineStr">
        <is>
          <t>Crime policy report ; 3</t>
        </is>
      </c>
      <c r="R1387" t="inlineStr">
        <is>
          <t xml:space="preserve">HV </t>
        </is>
      </c>
      <c r="S1387" t="n">
        <v>1</v>
      </c>
      <c r="T1387" t="n">
        <v>1</v>
      </c>
      <c r="U1387" t="inlineStr">
        <is>
          <t>2008-02-05</t>
        </is>
      </c>
      <c r="V1387" t="inlineStr">
        <is>
          <t>2008-02-05</t>
        </is>
      </c>
      <c r="W1387" t="inlineStr">
        <is>
          <t>2003-10-09</t>
        </is>
      </c>
      <c r="X1387" t="inlineStr">
        <is>
          <t>2003-10-09</t>
        </is>
      </c>
      <c r="Y1387" t="n">
        <v>13</v>
      </c>
      <c r="Z1387" t="n">
        <v>13</v>
      </c>
      <c r="AA1387" t="n">
        <v>15</v>
      </c>
      <c r="AB1387" t="n">
        <v>1</v>
      </c>
      <c r="AC1387" t="n">
        <v>1</v>
      </c>
      <c r="AD1387" t="n">
        <v>1</v>
      </c>
      <c r="AE1387" t="n">
        <v>2</v>
      </c>
      <c r="AF1387" t="n">
        <v>0</v>
      </c>
      <c r="AG1387" t="n">
        <v>1</v>
      </c>
      <c r="AH1387" t="n">
        <v>0</v>
      </c>
      <c r="AI1387" t="n">
        <v>0</v>
      </c>
      <c r="AJ1387" t="n">
        <v>0</v>
      </c>
      <c r="AK1387" t="n">
        <v>0</v>
      </c>
      <c r="AL1387" t="n">
        <v>0</v>
      </c>
      <c r="AM1387" t="n">
        <v>0</v>
      </c>
      <c r="AN1387" t="n">
        <v>1</v>
      </c>
      <c r="AO1387" t="n">
        <v>1</v>
      </c>
      <c r="AP1387" t="inlineStr">
        <is>
          <t>No</t>
        </is>
      </c>
      <c r="AQ1387" t="inlineStr">
        <is>
          <t>No</t>
        </is>
      </c>
      <c r="AS1387">
        <f>HYPERLINK("https://creighton-primo.hosted.exlibrisgroup.com/primo-explore/search?tab=default_tab&amp;search_scope=EVERYTHING&amp;vid=01CRU&amp;lang=en_US&amp;offset=0&amp;query=any,contains,991004097609702656","Catalog Record")</f>
        <v/>
      </c>
      <c r="AT1387">
        <f>HYPERLINK("http://www.worldcat.org/oclc/48085892","WorldCat Record")</f>
        <v/>
      </c>
      <c r="AU1387" t="inlineStr">
        <is>
          <t>13421918:eng</t>
        </is>
      </c>
      <c r="AV1387" t="inlineStr">
        <is>
          <t>48085892</t>
        </is>
      </c>
      <c r="AW1387" t="inlineStr">
        <is>
          <t>991004097609702656</t>
        </is>
      </c>
      <c r="AX1387" t="inlineStr">
        <is>
          <t>991004097609702656</t>
        </is>
      </c>
      <c r="AY1387" t="inlineStr">
        <is>
          <t>2255312560002656</t>
        </is>
      </c>
      <c r="AZ1387" t="inlineStr">
        <is>
          <t>BOOK</t>
        </is>
      </c>
      <c r="BC1387" t="inlineStr">
        <is>
          <t>32285004787668</t>
        </is>
      </c>
      <c r="BD1387" t="inlineStr">
        <is>
          <t>893605617</t>
        </is>
      </c>
    </row>
    <row r="1388">
      <c r="A1388" t="inlineStr">
        <is>
          <t>No</t>
        </is>
      </c>
      <c r="B1388" t="inlineStr">
        <is>
          <t>HV9276.5 .B66 1994</t>
        </is>
      </c>
      <c r="C1388" t="inlineStr">
        <is>
          <t>0                      HV 9276500B  66          1994</t>
        </is>
      </c>
      <c r="D1388" t="inlineStr">
        <is>
          <t>Alternatives to imprisonment : intentions and reality / Ulla V. Bondeson.</t>
        </is>
      </c>
      <c r="F1388" t="inlineStr">
        <is>
          <t>No</t>
        </is>
      </c>
      <c r="G1388" t="inlineStr">
        <is>
          <t>1</t>
        </is>
      </c>
      <c r="H1388" t="inlineStr">
        <is>
          <t>Yes</t>
        </is>
      </c>
      <c r="I1388" t="inlineStr">
        <is>
          <t>No</t>
        </is>
      </c>
      <c r="J1388" t="inlineStr">
        <is>
          <t>0</t>
        </is>
      </c>
      <c r="K1388" t="inlineStr">
        <is>
          <t>Bondeson, Ulla, 1937-</t>
        </is>
      </c>
      <c r="L1388" t="inlineStr">
        <is>
          <t>Boulder : Westview Press, 1994.</t>
        </is>
      </c>
      <c r="M1388" t="inlineStr">
        <is>
          <t>1994</t>
        </is>
      </c>
      <c r="O1388" t="inlineStr">
        <is>
          <t>eng</t>
        </is>
      </c>
      <c r="P1388" t="inlineStr">
        <is>
          <t>cou</t>
        </is>
      </c>
      <c r="Q1388" t="inlineStr">
        <is>
          <t>Crime &amp; society</t>
        </is>
      </c>
      <c r="R1388" t="inlineStr">
        <is>
          <t xml:space="preserve">HV </t>
        </is>
      </c>
      <c r="S1388" t="n">
        <v>5</v>
      </c>
      <c r="T1388" t="n">
        <v>5</v>
      </c>
      <c r="U1388" t="inlineStr">
        <is>
          <t>2008-11-03</t>
        </is>
      </c>
      <c r="V1388" t="inlineStr">
        <is>
          <t>2008-11-03</t>
        </is>
      </c>
      <c r="W1388" t="inlineStr">
        <is>
          <t>1995-05-10</t>
        </is>
      </c>
      <c r="X1388" t="inlineStr">
        <is>
          <t>1995-08-02</t>
        </is>
      </c>
      <c r="Y1388" t="n">
        <v>358</v>
      </c>
      <c r="Z1388" t="n">
        <v>305</v>
      </c>
      <c r="AA1388" t="n">
        <v>424</v>
      </c>
      <c r="AB1388" t="n">
        <v>3</v>
      </c>
      <c r="AC1388" t="n">
        <v>3</v>
      </c>
      <c r="AD1388" t="n">
        <v>18</v>
      </c>
      <c r="AE1388" t="n">
        <v>29</v>
      </c>
      <c r="AF1388" t="n">
        <v>4</v>
      </c>
      <c r="AG1388" t="n">
        <v>8</v>
      </c>
      <c r="AH1388" t="n">
        <v>2</v>
      </c>
      <c r="AI1388" t="n">
        <v>6</v>
      </c>
      <c r="AJ1388" t="n">
        <v>7</v>
      </c>
      <c r="AK1388" t="n">
        <v>12</v>
      </c>
      <c r="AL1388" t="n">
        <v>1</v>
      </c>
      <c r="AM1388" t="n">
        <v>1</v>
      </c>
      <c r="AN1388" t="n">
        <v>7</v>
      </c>
      <c r="AO1388" t="n">
        <v>7</v>
      </c>
      <c r="AP1388" t="inlineStr">
        <is>
          <t>No</t>
        </is>
      </c>
      <c r="AQ1388" t="inlineStr">
        <is>
          <t>Yes</t>
        </is>
      </c>
      <c r="AR1388">
        <f>HYPERLINK("http://catalog.hathitrust.org/Record/002867016","HathiTrust Record")</f>
        <v/>
      </c>
      <c r="AS1388">
        <f>HYPERLINK("https://creighton-primo.hosted.exlibrisgroup.com/primo-explore/search?tab=default_tab&amp;search_scope=EVERYTHING&amp;vid=01CRU&amp;lang=en_US&amp;offset=0&amp;query=any,contains,991001661399702656","Catalog Record")</f>
        <v/>
      </c>
      <c r="AT1388">
        <f>HYPERLINK("http://www.worldcat.org/oclc/29668246","WorldCat Record")</f>
        <v/>
      </c>
      <c r="AU1388" t="inlineStr">
        <is>
          <t>31863045:eng</t>
        </is>
      </c>
      <c r="AV1388" t="inlineStr">
        <is>
          <t>29668246</t>
        </is>
      </c>
      <c r="AW1388" t="inlineStr">
        <is>
          <t>991001661399702656</t>
        </is>
      </c>
      <c r="AX1388" t="inlineStr">
        <is>
          <t>991001661399702656</t>
        </is>
      </c>
      <c r="AY1388" t="inlineStr">
        <is>
          <t>2271105860002656</t>
        </is>
      </c>
      <c r="AZ1388" t="inlineStr">
        <is>
          <t>BOOK</t>
        </is>
      </c>
      <c r="BB1388" t="inlineStr">
        <is>
          <t>9780813320113</t>
        </is>
      </c>
      <c r="BC1388" t="inlineStr">
        <is>
          <t>32285002038544</t>
        </is>
      </c>
      <c r="BD1388" t="inlineStr">
        <is>
          <t>893420490</t>
        </is>
      </c>
    </row>
    <row r="1389">
      <c r="A1389" t="inlineStr">
        <is>
          <t>No</t>
        </is>
      </c>
      <c r="B1389" t="inlineStr">
        <is>
          <t>HV9278 .D72</t>
        </is>
      </c>
      <c r="C1389" t="inlineStr">
        <is>
          <t>0                      HV 9278000D  72</t>
        </is>
      </c>
      <c r="D1389" t="inlineStr">
        <is>
          <t>Practice and theory of probation and parole / by David Dressler.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Dressler, David.</t>
        </is>
      </c>
      <c r="L1389" t="inlineStr">
        <is>
          <t>New York : Columbia University Press, c1959.</t>
        </is>
      </c>
      <c r="M1389" t="inlineStr">
        <is>
          <t>1959</t>
        </is>
      </c>
      <c r="O1389" t="inlineStr">
        <is>
          <t>eng</t>
        </is>
      </c>
      <c r="P1389" t="inlineStr">
        <is>
          <t>nyu</t>
        </is>
      </c>
      <c r="R1389" t="inlineStr">
        <is>
          <t xml:space="preserve">HV </t>
        </is>
      </c>
      <c r="S1389" t="n">
        <v>12</v>
      </c>
      <c r="T1389" t="n">
        <v>12</v>
      </c>
      <c r="U1389" t="inlineStr">
        <is>
          <t>2006-04-10</t>
        </is>
      </c>
      <c r="V1389" t="inlineStr">
        <is>
          <t>2006-04-10</t>
        </is>
      </c>
      <c r="W1389" t="inlineStr">
        <is>
          <t>1990-09-05</t>
        </is>
      </c>
      <c r="X1389" t="inlineStr">
        <is>
          <t>1990-09-05</t>
        </is>
      </c>
      <c r="Y1389" t="n">
        <v>433</v>
      </c>
      <c r="Z1389" t="n">
        <v>382</v>
      </c>
      <c r="AA1389" t="n">
        <v>756</v>
      </c>
      <c r="AB1389" t="n">
        <v>4</v>
      </c>
      <c r="AC1389" t="n">
        <v>4</v>
      </c>
      <c r="AD1389" t="n">
        <v>26</v>
      </c>
      <c r="AE1389" t="n">
        <v>41</v>
      </c>
      <c r="AF1389" t="n">
        <v>8</v>
      </c>
      <c r="AG1389" t="n">
        <v>14</v>
      </c>
      <c r="AH1389" t="n">
        <v>4</v>
      </c>
      <c r="AI1389" t="n">
        <v>7</v>
      </c>
      <c r="AJ1389" t="n">
        <v>11</v>
      </c>
      <c r="AK1389" t="n">
        <v>17</v>
      </c>
      <c r="AL1389" t="n">
        <v>2</v>
      </c>
      <c r="AM1389" t="n">
        <v>2</v>
      </c>
      <c r="AN1389" t="n">
        <v>7</v>
      </c>
      <c r="AO1389" t="n">
        <v>11</v>
      </c>
      <c r="AP1389" t="inlineStr">
        <is>
          <t>No</t>
        </is>
      </c>
      <c r="AQ1389" t="inlineStr">
        <is>
          <t>No</t>
        </is>
      </c>
      <c r="AR1389">
        <f>HYPERLINK("http://catalog.hathitrust.org/Record/001135948","HathiTrust Record")</f>
        <v/>
      </c>
      <c r="AS1389">
        <f>HYPERLINK("https://creighton-primo.hosted.exlibrisgroup.com/primo-explore/search?tab=default_tab&amp;search_scope=EVERYTHING&amp;vid=01CRU&amp;lang=en_US&amp;offset=0&amp;query=any,contains,991002116019702656","Catalog Record")</f>
        <v/>
      </c>
      <c r="AT1389">
        <f>HYPERLINK("http://www.worldcat.org/oclc/268325","WorldCat Record")</f>
        <v/>
      </c>
      <c r="AU1389" t="inlineStr">
        <is>
          <t>419666:eng</t>
        </is>
      </c>
      <c r="AV1389" t="inlineStr">
        <is>
          <t>268325</t>
        </is>
      </c>
      <c r="AW1389" t="inlineStr">
        <is>
          <t>991002116019702656</t>
        </is>
      </c>
      <c r="AX1389" t="inlineStr">
        <is>
          <t>991002116019702656</t>
        </is>
      </c>
      <c r="AY1389" t="inlineStr">
        <is>
          <t>2270491760002656</t>
        </is>
      </c>
      <c r="AZ1389" t="inlineStr">
        <is>
          <t>BOOK</t>
        </is>
      </c>
      <c r="BC1389" t="inlineStr">
        <is>
          <t>32285000300615</t>
        </is>
      </c>
      <c r="BD1389" t="inlineStr">
        <is>
          <t>893427224</t>
        </is>
      </c>
    </row>
    <row r="1390">
      <c r="A1390" t="inlineStr">
        <is>
          <t>No</t>
        </is>
      </c>
      <c r="B1390" t="inlineStr">
        <is>
          <t>HV9278 .N5 1964</t>
        </is>
      </c>
      <c r="C1390" t="inlineStr">
        <is>
          <t>0                      HV 9278000N  5           1964</t>
        </is>
      </c>
      <c r="D1390" t="inlineStr">
        <is>
          <t>Sourcebook on probation, parole, and pardons. With an introd. by Milton G. Rector.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Newman, Charles L., editor.</t>
        </is>
      </c>
      <c r="L1390" t="inlineStr">
        <is>
          <t>Springfield, Ill., Thomas [1964]</t>
        </is>
      </c>
      <c r="M1390" t="inlineStr">
        <is>
          <t>1964</t>
        </is>
      </c>
      <c r="N1390" t="inlineStr">
        <is>
          <t>2d ed.</t>
        </is>
      </c>
      <c r="O1390" t="inlineStr">
        <is>
          <t>eng</t>
        </is>
      </c>
      <c r="P1390" t="inlineStr">
        <is>
          <t>ilu</t>
        </is>
      </c>
      <c r="R1390" t="inlineStr">
        <is>
          <t xml:space="preserve">HV </t>
        </is>
      </c>
      <c r="S1390" t="n">
        <v>6</v>
      </c>
      <c r="T1390" t="n">
        <v>6</v>
      </c>
      <c r="U1390" t="inlineStr">
        <is>
          <t>2006-04-10</t>
        </is>
      </c>
      <c r="V1390" t="inlineStr">
        <is>
          <t>2006-04-10</t>
        </is>
      </c>
      <c r="W1390" t="inlineStr">
        <is>
          <t>1992-04-07</t>
        </is>
      </c>
      <c r="X1390" t="inlineStr">
        <is>
          <t>1992-04-07</t>
        </is>
      </c>
      <c r="Y1390" t="n">
        <v>179</v>
      </c>
      <c r="Z1390" t="n">
        <v>154</v>
      </c>
      <c r="AA1390" t="n">
        <v>585</v>
      </c>
      <c r="AB1390" t="n">
        <v>1</v>
      </c>
      <c r="AC1390" t="n">
        <v>4</v>
      </c>
      <c r="AD1390" t="n">
        <v>7</v>
      </c>
      <c r="AE1390" t="n">
        <v>36</v>
      </c>
      <c r="AF1390" t="n">
        <v>2</v>
      </c>
      <c r="AG1390" t="n">
        <v>12</v>
      </c>
      <c r="AH1390" t="n">
        <v>1</v>
      </c>
      <c r="AI1390" t="n">
        <v>5</v>
      </c>
      <c r="AJ1390" t="n">
        <v>2</v>
      </c>
      <c r="AK1390" t="n">
        <v>11</v>
      </c>
      <c r="AL1390" t="n">
        <v>0</v>
      </c>
      <c r="AM1390" t="n">
        <v>2</v>
      </c>
      <c r="AN1390" t="n">
        <v>2</v>
      </c>
      <c r="AO1390" t="n">
        <v>12</v>
      </c>
      <c r="AP1390" t="inlineStr">
        <is>
          <t>No</t>
        </is>
      </c>
      <c r="AQ1390" t="inlineStr">
        <is>
          <t>Yes</t>
        </is>
      </c>
      <c r="AR1390">
        <f>HYPERLINK("http://catalog.hathitrust.org/Record/006235641","HathiTrust Record")</f>
        <v/>
      </c>
      <c r="AS1390">
        <f>HYPERLINK("https://creighton-primo.hosted.exlibrisgroup.com/primo-explore/search?tab=default_tab&amp;search_scope=EVERYTHING&amp;vid=01CRU&amp;lang=en_US&amp;offset=0&amp;query=any,contains,991002095759702656","Catalog Record")</f>
        <v/>
      </c>
      <c r="AT1390">
        <f>HYPERLINK("http://www.worldcat.org/oclc/265592","WorldCat Record")</f>
        <v/>
      </c>
      <c r="AU1390" t="inlineStr">
        <is>
          <t>1382630:eng</t>
        </is>
      </c>
      <c r="AV1390" t="inlineStr">
        <is>
          <t>265592</t>
        </is>
      </c>
      <c r="AW1390" t="inlineStr">
        <is>
          <t>991002095759702656</t>
        </is>
      </c>
      <c r="AX1390" t="inlineStr">
        <is>
          <t>991002095759702656</t>
        </is>
      </c>
      <c r="AY1390" t="inlineStr">
        <is>
          <t>2267816490002656</t>
        </is>
      </c>
      <c r="AZ1390" t="inlineStr">
        <is>
          <t>BOOK</t>
        </is>
      </c>
      <c r="BC1390" t="inlineStr">
        <is>
          <t>32285001051704</t>
        </is>
      </c>
      <c r="BD1390" t="inlineStr">
        <is>
          <t>893322555</t>
        </is>
      </c>
    </row>
    <row r="1391">
      <c r="A1391" t="inlineStr">
        <is>
          <t>No</t>
        </is>
      </c>
      <c r="B1391" t="inlineStr">
        <is>
          <t>HV9278 .R8 1968</t>
        </is>
      </c>
      <c r="C1391" t="inlineStr">
        <is>
          <t>0                      HV 9278000R  8           1968</t>
        </is>
      </c>
      <c r="D1391" t="inlineStr">
        <is>
          <t>Probation and social adjustment / [by] Jay Rumney [and] Joseph P. Murphy. Published for Essex County Probation Office.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Rumney, Jay, 1905-1957.</t>
        </is>
      </c>
      <c r="L1391" t="inlineStr">
        <is>
          <t>New York : Greenwood Press, 1968 [c1952]</t>
        </is>
      </c>
      <c r="M1391" t="inlineStr">
        <is>
          <t>1968</t>
        </is>
      </c>
      <c r="O1391" t="inlineStr">
        <is>
          <t>eng</t>
        </is>
      </c>
      <c r="P1391" t="inlineStr">
        <is>
          <t>nyu</t>
        </is>
      </c>
      <c r="R1391" t="inlineStr">
        <is>
          <t xml:space="preserve">HV </t>
        </is>
      </c>
      <c r="S1391" t="n">
        <v>4</v>
      </c>
      <c r="T1391" t="n">
        <v>4</v>
      </c>
      <c r="U1391" t="inlineStr">
        <is>
          <t>2007-02-17</t>
        </is>
      </c>
      <c r="V1391" t="inlineStr">
        <is>
          <t>2007-02-17</t>
        </is>
      </c>
      <c r="W1391" t="inlineStr">
        <is>
          <t>1995-03-21</t>
        </is>
      </c>
      <c r="X1391" t="inlineStr">
        <is>
          <t>1995-03-21</t>
        </is>
      </c>
      <c r="Y1391" t="n">
        <v>219</v>
      </c>
      <c r="Z1391" t="n">
        <v>189</v>
      </c>
      <c r="AA1391" t="n">
        <v>404</v>
      </c>
      <c r="AB1391" t="n">
        <v>2</v>
      </c>
      <c r="AC1391" t="n">
        <v>2</v>
      </c>
      <c r="AD1391" t="n">
        <v>13</v>
      </c>
      <c r="AE1391" t="n">
        <v>24</v>
      </c>
      <c r="AF1391" t="n">
        <v>4</v>
      </c>
      <c r="AG1391" t="n">
        <v>6</v>
      </c>
      <c r="AH1391" t="n">
        <v>4</v>
      </c>
      <c r="AI1391" t="n">
        <v>8</v>
      </c>
      <c r="AJ1391" t="n">
        <v>5</v>
      </c>
      <c r="AK1391" t="n">
        <v>13</v>
      </c>
      <c r="AL1391" t="n">
        <v>1</v>
      </c>
      <c r="AM1391" t="n">
        <v>1</v>
      </c>
      <c r="AN1391" t="n">
        <v>2</v>
      </c>
      <c r="AO1391" t="n">
        <v>3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HYPERLINK("https://creighton-primo.hosted.exlibrisgroup.com/primo-explore/search?tab=default_tab&amp;search_scope=EVERYTHING&amp;vid=01CRU&amp;lang=en_US&amp;offset=0&amp;query=any,contains,991000423709702656","Catalog Record")</f>
        <v/>
      </c>
      <c r="AT1391">
        <f>HYPERLINK("http://www.worldcat.org/oclc/74481","WorldCat Record")</f>
        <v/>
      </c>
      <c r="AU1391" t="inlineStr">
        <is>
          <t>1246560:eng</t>
        </is>
      </c>
      <c r="AV1391" t="inlineStr">
        <is>
          <t>74481</t>
        </is>
      </c>
      <c r="AW1391" t="inlineStr">
        <is>
          <t>991000423709702656</t>
        </is>
      </c>
      <c r="AX1391" t="inlineStr">
        <is>
          <t>991000423709702656</t>
        </is>
      </c>
      <c r="AY1391" t="inlineStr">
        <is>
          <t>2272089500002656</t>
        </is>
      </c>
      <c r="AZ1391" t="inlineStr">
        <is>
          <t>BOOK</t>
        </is>
      </c>
      <c r="BC1391" t="inlineStr">
        <is>
          <t>32285002012879</t>
        </is>
      </c>
      <c r="BD1391" t="inlineStr">
        <is>
          <t>893345642</t>
        </is>
      </c>
    </row>
    <row r="1392">
      <c r="A1392" t="inlineStr">
        <is>
          <t>No</t>
        </is>
      </c>
      <c r="B1392" t="inlineStr">
        <is>
          <t>HV9304 .C37</t>
        </is>
      </c>
      <c r="C1392" t="inlineStr">
        <is>
          <t>0                      HV 9304000C  37</t>
        </is>
      </c>
      <c r="D1392" t="inlineStr">
        <is>
          <t>Corrections in America / Robert M. Carter, Richard A. McGee, E. Kim Nelson.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Carter, Robert Melvin, 1929-</t>
        </is>
      </c>
      <c r="L1392" t="inlineStr">
        <is>
          <t>Philadelphia : Lippincott, [1975]</t>
        </is>
      </c>
      <c r="M1392" t="inlineStr">
        <is>
          <t>1975</t>
        </is>
      </c>
      <c r="O1392" t="inlineStr">
        <is>
          <t>eng</t>
        </is>
      </c>
      <c r="P1392" t="inlineStr">
        <is>
          <t>pau</t>
        </is>
      </c>
      <c r="R1392" t="inlineStr">
        <is>
          <t xml:space="preserve">HV </t>
        </is>
      </c>
      <c r="S1392" t="n">
        <v>3</v>
      </c>
      <c r="T1392" t="n">
        <v>3</v>
      </c>
      <c r="U1392" t="inlineStr">
        <is>
          <t>2005-03-23</t>
        </is>
      </c>
      <c r="V1392" t="inlineStr">
        <is>
          <t>2005-03-23</t>
        </is>
      </c>
      <c r="W1392" t="inlineStr">
        <is>
          <t>1995-05-06</t>
        </is>
      </c>
      <c r="X1392" t="inlineStr">
        <is>
          <t>1995-05-06</t>
        </is>
      </c>
      <c r="Y1392" t="n">
        <v>351</v>
      </c>
      <c r="Z1392" t="n">
        <v>322</v>
      </c>
      <c r="AA1392" t="n">
        <v>324</v>
      </c>
      <c r="AB1392" t="n">
        <v>6</v>
      </c>
      <c r="AC1392" t="n">
        <v>6</v>
      </c>
      <c r="AD1392" t="n">
        <v>23</v>
      </c>
      <c r="AE1392" t="n">
        <v>23</v>
      </c>
      <c r="AF1392" t="n">
        <v>6</v>
      </c>
      <c r="AG1392" t="n">
        <v>6</v>
      </c>
      <c r="AH1392" t="n">
        <v>6</v>
      </c>
      <c r="AI1392" t="n">
        <v>6</v>
      </c>
      <c r="AJ1392" t="n">
        <v>8</v>
      </c>
      <c r="AK1392" t="n">
        <v>8</v>
      </c>
      <c r="AL1392" t="n">
        <v>4</v>
      </c>
      <c r="AM1392" t="n">
        <v>4</v>
      </c>
      <c r="AN1392" t="n">
        <v>4</v>
      </c>
      <c r="AO1392" t="n">
        <v>4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HYPERLINK("http://catalog.hathitrust.org/Record/000041199","HathiTrust Record")</f>
        <v/>
      </c>
      <c r="AS1392">
        <f>HYPERLINK("https://creighton-primo.hosted.exlibrisgroup.com/primo-explore/search?tab=default_tab&amp;search_scope=EVERYTHING&amp;vid=01CRU&amp;lang=en_US&amp;offset=0&amp;query=any,contains,991003592379702656","Catalog Record")</f>
        <v/>
      </c>
      <c r="AT1392">
        <f>HYPERLINK("http://www.worldcat.org/oclc/1174596","WorldCat Record")</f>
        <v/>
      </c>
      <c r="AU1392" t="inlineStr">
        <is>
          <t>2118465:eng</t>
        </is>
      </c>
      <c r="AV1392" t="inlineStr">
        <is>
          <t>1174596</t>
        </is>
      </c>
      <c r="AW1392" t="inlineStr">
        <is>
          <t>991003592379702656</t>
        </is>
      </c>
      <c r="AX1392" t="inlineStr">
        <is>
          <t>991003592379702656</t>
        </is>
      </c>
      <c r="AY1392" t="inlineStr">
        <is>
          <t>2272418750002656</t>
        </is>
      </c>
      <c r="AZ1392" t="inlineStr">
        <is>
          <t>BOOK</t>
        </is>
      </c>
      <c r="BB1392" t="inlineStr">
        <is>
          <t>9780397473175</t>
        </is>
      </c>
      <c r="BC1392" t="inlineStr">
        <is>
          <t>32285002032703</t>
        </is>
      </c>
      <c r="BD1392" t="inlineStr">
        <is>
          <t>893686690</t>
        </is>
      </c>
    </row>
    <row r="1393">
      <c r="A1393" t="inlineStr">
        <is>
          <t>No</t>
        </is>
      </c>
      <c r="B1393" t="inlineStr">
        <is>
          <t>HV9304 .P77 1985</t>
        </is>
      </c>
      <c r="C1393" t="inlineStr">
        <is>
          <t>0                      HV 9304000P  77          1985</t>
        </is>
      </c>
      <c r="D1393" t="inlineStr">
        <is>
          <t>Probation and parole in America / Harry E. Allen ... [et al.].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L1393" t="inlineStr">
        <is>
          <t>New York : Free Press ; London : Collier Macmillan, c1985.</t>
        </is>
      </c>
      <c r="M1393" t="inlineStr">
        <is>
          <t>1985</t>
        </is>
      </c>
      <c r="O1393" t="inlineStr">
        <is>
          <t>eng</t>
        </is>
      </c>
      <c r="P1393" t="inlineStr">
        <is>
          <t>nyu</t>
        </is>
      </c>
      <c r="R1393" t="inlineStr">
        <is>
          <t xml:space="preserve">HV </t>
        </is>
      </c>
      <c r="S1393" t="n">
        <v>22</v>
      </c>
      <c r="T1393" t="n">
        <v>22</v>
      </c>
      <c r="U1393" t="inlineStr">
        <is>
          <t>2006-04-10</t>
        </is>
      </c>
      <c r="V1393" t="inlineStr">
        <is>
          <t>2006-04-10</t>
        </is>
      </c>
      <c r="W1393" t="inlineStr">
        <is>
          <t>1992-04-06</t>
        </is>
      </c>
      <c r="X1393" t="inlineStr">
        <is>
          <t>1992-04-06</t>
        </is>
      </c>
      <c r="Y1393" t="n">
        <v>321</v>
      </c>
      <c r="Z1393" t="n">
        <v>297</v>
      </c>
      <c r="AA1393" t="n">
        <v>302</v>
      </c>
      <c r="AB1393" t="n">
        <v>4</v>
      </c>
      <c r="AC1393" t="n">
        <v>4</v>
      </c>
      <c r="AD1393" t="n">
        <v>7</v>
      </c>
      <c r="AE1393" t="n">
        <v>7</v>
      </c>
      <c r="AF1393" t="n">
        <v>2</v>
      </c>
      <c r="AG1393" t="n">
        <v>2</v>
      </c>
      <c r="AH1393" t="n">
        <v>1</v>
      </c>
      <c r="AI1393" t="n">
        <v>1</v>
      </c>
      <c r="AJ1393" t="n">
        <v>2</v>
      </c>
      <c r="AK1393" t="n">
        <v>2</v>
      </c>
      <c r="AL1393" t="n">
        <v>2</v>
      </c>
      <c r="AM1393" t="n">
        <v>2</v>
      </c>
      <c r="AN1393" t="n">
        <v>2</v>
      </c>
      <c r="AO1393" t="n">
        <v>2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HYPERLINK("https://creighton-primo.hosted.exlibrisgroup.com/primo-explore/search?tab=default_tab&amp;search_scope=EVERYTHING&amp;vid=01CRU&amp;lang=en_US&amp;offset=0&amp;query=any,contains,991000636859702656","Catalog Record")</f>
        <v/>
      </c>
      <c r="AT1393">
        <f>HYPERLINK("http://www.worldcat.org/oclc/12081833","WorldCat Record")</f>
        <v/>
      </c>
      <c r="AU1393" t="inlineStr">
        <is>
          <t>4715975:eng</t>
        </is>
      </c>
      <c r="AV1393" t="inlineStr">
        <is>
          <t>12081833</t>
        </is>
      </c>
      <c r="AW1393" t="inlineStr">
        <is>
          <t>991000636859702656</t>
        </is>
      </c>
      <c r="AX1393" t="inlineStr">
        <is>
          <t>991000636859702656</t>
        </is>
      </c>
      <c r="AY1393" t="inlineStr">
        <is>
          <t>2266392940002656</t>
        </is>
      </c>
      <c r="AZ1393" t="inlineStr">
        <is>
          <t>BOOK</t>
        </is>
      </c>
      <c r="BB1393" t="inlineStr">
        <is>
          <t>9780029004401</t>
        </is>
      </c>
      <c r="BC1393" t="inlineStr">
        <is>
          <t>32285001051365</t>
        </is>
      </c>
      <c r="BD1393" t="inlineStr">
        <is>
          <t>893225165</t>
        </is>
      </c>
    </row>
    <row r="1394">
      <c r="A1394" t="inlineStr">
        <is>
          <t>No</t>
        </is>
      </c>
      <c r="B1394" t="inlineStr">
        <is>
          <t>HV9304 .S54 1993</t>
        </is>
      </c>
      <c r="C1394" t="inlineStr">
        <is>
          <t>0                      HV 9304000S  54          1993</t>
        </is>
      </c>
      <c r="D1394" t="inlineStr">
        <is>
          <t>Poor discipline : parole and the social control of the underclass, 1890-1990 / Jonathan Simon.</t>
        </is>
      </c>
      <c r="F1394" t="inlineStr">
        <is>
          <t>No</t>
        </is>
      </c>
      <c r="G1394" t="inlineStr">
        <is>
          <t>1</t>
        </is>
      </c>
      <c r="H1394" t="inlineStr">
        <is>
          <t>Yes</t>
        </is>
      </c>
      <c r="I1394" t="inlineStr">
        <is>
          <t>No</t>
        </is>
      </c>
      <c r="J1394" t="inlineStr">
        <is>
          <t>0</t>
        </is>
      </c>
      <c r="K1394" t="inlineStr">
        <is>
          <t>Simon, Jonathan, 1959-</t>
        </is>
      </c>
      <c r="L1394" t="inlineStr">
        <is>
          <t>Chicago : University of Chicago, c1993.</t>
        </is>
      </c>
      <c r="M1394" t="inlineStr">
        <is>
          <t>1993</t>
        </is>
      </c>
      <c r="O1394" t="inlineStr">
        <is>
          <t>eng</t>
        </is>
      </c>
      <c r="P1394" t="inlineStr">
        <is>
          <t>ilu</t>
        </is>
      </c>
      <c r="Q1394" t="inlineStr">
        <is>
          <t>Studies in crime and justice</t>
        </is>
      </c>
      <c r="R1394" t="inlineStr">
        <is>
          <t xml:space="preserve">HV </t>
        </is>
      </c>
      <c r="S1394" t="n">
        <v>8</v>
      </c>
      <c r="T1394" t="n">
        <v>9</v>
      </c>
      <c r="U1394" t="inlineStr">
        <is>
          <t>2003-04-15</t>
        </is>
      </c>
      <c r="V1394" t="inlineStr">
        <is>
          <t>2003-04-15</t>
        </is>
      </c>
      <c r="W1394" t="inlineStr">
        <is>
          <t>1995-03-21</t>
        </is>
      </c>
      <c r="X1394" t="inlineStr">
        <is>
          <t>1995-03-21</t>
        </is>
      </c>
      <c r="Y1394" t="n">
        <v>548</v>
      </c>
      <c r="Z1394" t="n">
        <v>450</v>
      </c>
      <c r="AA1394" t="n">
        <v>450</v>
      </c>
      <c r="AB1394" t="n">
        <v>4</v>
      </c>
      <c r="AC1394" t="n">
        <v>4</v>
      </c>
      <c r="AD1394" t="n">
        <v>29</v>
      </c>
      <c r="AE1394" t="n">
        <v>29</v>
      </c>
      <c r="AF1394" t="n">
        <v>7</v>
      </c>
      <c r="AG1394" t="n">
        <v>7</v>
      </c>
      <c r="AH1394" t="n">
        <v>5</v>
      </c>
      <c r="AI1394" t="n">
        <v>5</v>
      </c>
      <c r="AJ1394" t="n">
        <v>12</v>
      </c>
      <c r="AK1394" t="n">
        <v>12</v>
      </c>
      <c r="AL1394" t="n">
        <v>2</v>
      </c>
      <c r="AM1394" t="n">
        <v>2</v>
      </c>
      <c r="AN1394" t="n">
        <v>8</v>
      </c>
      <c r="AO1394" t="n">
        <v>8</v>
      </c>
      <c r="AP1394" t="inlineStr">
        <is>
          <t>No</t>
        </is>
      </c>
      <c r="AQ1394" t="inlineStr">
        <is>
          <t>No</t>
        </is>
      </c>
      <c r="AS1394">
        <f>HYPERLINK("https://creighton-primo.hosted.exlibrisgroup.com/primo-explore/search?tab=default_tab&amp;search_scope=EVERYTHING&amp;vid=01CRU&amp;lang=en_US&amp;offset=0&amp;query=any,contains,991001658229702656","Catalog Record")</f>
        <v/>
      </c>
      <c r="AT1394">
        <f>HYPERLINK("http://www.worldcat.org/oclc/28025808","WorldCat Record")</f>
        <v/>
      </c>
      <c r="AU1394" t="inlineStr">
        <is>
          <t>328917:eng</t>
        </is>
      </c>
      <c r="AV1394" t="inlineStr">
        <is>
          <t>28025808</t>
        </is>
      </c>
      <c r="AW1394" t="inlineStr">
        <is>
          <t>991001658229702656</t>
        </is>
      </c>
      <c r="AX1394" t="inlineStr">
        <is>
          <t>991001658229702656</t>
        </is>
      </c>
      <c r="AY1394" t="inlineStr">
        <is>
          <t>2262793140002656</t>
        </is>
      </c>
      <c r="AZ1394" t="inlineStr">
        <is>
          <t>BOOK</t>
        </is>
      </c>
      <c r="BB1394" t="inlineStr">
        <is>
          <t>9780226758565</t>
        </is>
      </c>
      <c r="BC1394" t="inlineStr">
        <is>
          <t>32285002003852</t>
        </is>
      </c>
      <c r="BD1394" t="inlineStr">
        <is>
          <t>893328268</t>
        </is>
      </c>
    </row>
    <row r="1395">
      <c r="A1395" t="inlineStr">
        <is>
          <t>No</t>
        </is>
      </c>
      <c r="B1395" t="inlineStr">
        <is>
          <t>HV9379.H48 F67</t>
        </is>
      </c>
      <c r="C1395" t="inlineStr">
        <is>
          <t>0                      HV 9379000H  48                 F  67</t>
        </is>
      </c>
      <c r="D1395" t="inlineStr">
        <is>
          <t>Treating the untreatable; chronic criminals at Herstedvester [by] Georg K. Stürup.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Stürup, Georg K. (Georg Kristoffer), 1905-1988.</t>
        </is>
      </c>
      <c r="L1395" t="inlineStr">
        <is>
          <t>Baltimore, Johns Hopkins Press [1968]</t>
        </is>
      </c>
      <c r="M1395" t="inlineStr">
        <is>
          <t>1968</t>
        </is>
      </c>
      <c r="O1395" t="inlineStr">
        <is>
          <t>eng</t>
        </is>
      </c>
      <c r="P1395" t="inlineStr">
        <is>
          <t>mdu</t>
        </is>
      </c>
      <c r="Q1395" t="inlineStr">
        <is>
          <t>The Isaac Ray award lectures, 1966</t>
        </is>
      </c>
      <c r="R1395" t="inlineStr">
        <is>
          <t xml:space="preserve">HV </t>
        </is>
      </c>
      <c r="S1395" t="n">
        <v>3</v>
      </c>
      <c r="T1395" t="n">
        <v>3</v>
      </c>
      <c r="U1395" t="inlineStr">
        <is>
          <t>2004-04-02</t>
        </is>
      </c>
      <c r="V1395" t="inlineStr">
        <is>
          <t>2004-04-02</t>
        </is>
      </c>
      <c r="W1395" t="inlineStr">
        <is>
          <t>1997-08-26</t>
        </is>
      </c>
      <c r="X1395" t="inlineStr">
        <is>
          <t>1997-08-26</t>
        </is>
      </c>
      <c r="Y1395" t="n">
        <v>492</v>
      </c>
      <c r="Z1395" t="n">
        <v>395</v>
      </c>
      <c r="AA1395" t="n">
        <v>397</v>
      </c>
      <c r="AB1395" t="n">
        <v>3</v>
      </c>
      <c r="AC1395" t="n">
        <v>3</v>
      </c>
      <c r="AD1395" t="n">
        <v>21</v>
      </c>
      <c r="AE1395" t="n">
        <v>21</v>
      </c>
      <c r="AF1395" t="n">
        <v>4</v>
      </c>
      <c r="AG1395" t="n">
        <v>4</v>
      </c>
      <c r="AH1395" t="n">
        <v>3</v>
      </c>
      <c r="AI1395" t="n">
        <v>3</v>
      </c>
      <c r="AJ1395" t="n">
        <v>9</v>
      </c>
      <c r="AK1395" t="n">
        <v>9</v>
      </c>
      <c r="AL1395" t="n">
        <v>1</v>
      </c>
      <c r="AM1395" t="n">
        <v>1</v>
      </c>
      <c r="AN1395" t="n">
        <v>9</v>
      </c>
      <c r="AO1395" t="n">
        <v>9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HYPERLINK("http://catalog.hathitrust.org/Record/001136016","HathiTrust Record")</f>
        <v/>
      </c>
      <c r="AS1395">
        <f>HYPERLINK("https://creighton-primo.hosted.exlibrisgroup.com/primo-explore/search?tab=default_tab&amp;search_scope=EVERYTHING&amp;vid=01CRU&amp;lang=en_US&amp;offset=0&amp;query=any,contains,991002098779702656","Catalog Record")</f>
        <v/>
      </c>
      <c r="AT1395">
        <f>HYPERLINK("http://www.worldcat.org/oclc/265973","WorldCat Record")</f>
        <v/>
      </c>
      <c r="AU1395" t="inlineStr">
        <is>
          <t>37934970:eng</t>
        </is>
      </c>
      <c r="AV1395" t="inlineStr">
        <is>
          <t>265973</t>
        </is>
      </c>
      <c r="AW1395" t="inlineStr">
        <is>
          <t>991002098779702656</t>
        </is>
      </c>
      <c r="AX1395" t="inlineStr">
        <is>
          <t>991002098779702656</t>
        </is>
      </c>
      <c r="AY1395" t="inlineStr">
        <is>
          <t>2265528350002656</t>
        </is>
      </c>
      <c r="AZ1395" t="inlineStr">
        <is>
          <t>BOOK</t>
        </is>
      </c>
      <c r="BC1395" t="inlineStr">
        <is>
          <t>32285003190070</t>
        </is>
      </c>
      <c r="BD1395" t="inlineStr">
        <is>
          <t>893721282</t>
        </is>
      </c>
    </row>
    <row r="1396">
      <c r="A1396" t="inlineStr">
        <is>
          <t>No</t>
        </is>
      </c>
      <c r="B1396" t="inlineStr">
        <is>
          <t>HV9466 .H3</t>
        </is>
      </c>
      <c r="C1396" t="inlineStr">
        <is>
          <t>0                      HV 9466000H  3</t>
        </is>
      </c>
      <c r="D1396" t="inlineStr">
        <is>
          <t>The American prison system / by Fred E. Haynes.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Haynes, Frederick Emory, 1868-</t>
        </is>
      </c>
      <c r="L1396" t="inlineStr">
        <is>
          <t>New York ; London : McGraw-Hill Book Company, inc., 1939.</t>
        </is>
      </c>
      <c r="M1396" t="inlineStr">
        <is>
          <t>1939</t>
        </is>
      </c>
      <c r="N1396" t="inlineStr">
        <is>
          <t>1st ed.</t>
        </is>
      </c>
      <c r="O1396" t="inlineStr">
        <is>
          <t>eng</t>
        </is>
      </c>
      <c r="P1396" t="inlineStr">
        <is>
          <t>nyu</t>
        </is>
      </c>
      <c r="Q1396" t="inlineStr">
        <is>
          <t>McGraw-Hill publications in sociology</t>
        </is>
      </c>
      <c r="R1396" t="inlineStr">
        <is>
          <t xml:space="preserve">HV </t>
        </is>
      </c>
      <c r="S1396" t="n">
        <v>6</v>
      </c>
      <c r="T1396" t="n">
        <v>6</v>
      </c>
      <c r="U1396" t="inlineStr">
        <is>
          <t>1997-03-31</t>
        </is>
      </c>
      <c r="V1396" t="inlineStr">
        <is>
          <t>1997-03-31</t>
        </is>
      </c>
      <c r="W1396" t="inlineStr">
        <is>
          <t>1993-12-02</t>
        </is>
      </c>
      <c r="X1396" t="inlineStr">
        <is>
          <t>1993-12-02</t>
        </is>
      </c>
      <c r="Y1396" t="n">
        <v>251</v>
      </c>
      <c r="Z1396" t="n">
        <v>224</v>
      </c>
      <c r="AA1396" t="n">
        <v>231</v>
      </c>
      <c r="AB1396" t="n">
        <v>2</v>
      </c>
      <c r="AC1396" t="n">
        <v>2</v>
      </c>
      <c r="AD1396" t="n">
        <v>10</v>
      </c>
      <c r="AE1396" t="n">
        <v>10</v>
      </c>
      <c r="AF1396" t="n">
        <v>3</v>
      </c>
      <c r="AG1396" t="n">
        <v>3</v>
      </c>
      <c r="AH1396" t="n">
        <v>1</v>
      </c>
      <c r="AI1396" t="n">
        <v>1</v>
      </c>
      <c r="AJ1396" t="n">
        <v>5</v>
      </c>
      <c r="AK1396" t="n">
        <v>5</v>
      </c>
      <c r="AL1396" t="n">
        <v>1</v>
      </c>
      <c r="AM1396" t="n">
        <v>1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No</t>
        </is>
      </c>
      <c r="AS1396">
        <f>HYPERLINK("https://creighton-primo.hosted.exlibrisgroup.com/primo-explore/search?tab=default_tab&amp;search_scope=EVERYTHING&amp;vid=01CRU&amp;lang=en_US&amp;offset=0&amp;query=any,contains,991002638539702656","Catalog Record")</f>
        <v/>
      </c>
      <c r="AT1396">
        <f>HYPERLINK("http://www.worldcat.org/oclc/383316","WorldCat Record")</f>
        <v/>
      </c>
      <c r="AU1396" t="inlineStr">
        <is>
          <t>1500439:eng</t>
        </is>
      </c>
      <c r="AV1396" t="inlineStr">
        <is>
          <t>383316</t>
        </is>
      </c>
      <c r="AW1396" t="inlineStr">
        <is>
          <t>991002638539702656</t>
        </is>
      </c>
      <c r="AX1396" t="inlineStr">
        <is>
          <t>991002638539702656</t>
        </is>
      </c>
      <c r="AY1396" t="inlineStr">
        <is>
          <t>2260466570002656</t>
        </is>
      </c>
      <c r="AZ1396" t="inlineStr">
        <is>
          <t>BOOK</t>
        </is>
      </c>
      <c r="BC1396" t="inlineStr">
        <is>
          <t>32285001805562</t>
        </is>
      </c>
      <c r="BD1396" t="inlineStr">
        <is>
          <t>893530273</t>
        </is>
      </c>
    </row>
    <row r="1397">
      <c r="A1397" t="inlineStr">
        <is>
          <t>No</t>
        </is>
      </c>
      <c r="B1397" t="inlineStr">
        <is>
          <t>HV9466 .M3 1968</t>
        </is>
      </c>
      <c r="C1397" t="inlineStr">
        <is>
          <t>0                      HV 9466000M  3           1968</t>
        </is>
      </c>
      <c r="D1397" t="inlineStr">
        <is>
          <t>American prisons : a study in American social history prior to 1915.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McKelvey, Blake, 1903-2000.</t>
        </is>
      </c>
      <c r="L1397" t="inlineStr">
        <is>
          <t>Montclair, N.J. : Patterson Smith, 1968 [c1936]</t>
        </is>
      </c>
      <c r="M1397" t="inlineStr">
        <is>
          <t>1968</t>
        </is>
      </c>
      <c r="O1397" t="inlineStr">
        <is>
          <t>eng</t>
        </is>
      </c>
      <c r="P1397" t="inlineStr">
        <is>
          <t>nju</t>
        </is>
      </c>
      <c r="Q1397" t="inlineStr">
        <is>
          <t>Patterson Smith reprint series in criminology, law enforcement, and social problems ; publication no. 17</t>
        </is>
      </c>
      <c r="R1397" t="inlineStr">
        <is>
          <t xml:space="preserve">HV </t>
        </is>
      </c>
      <c r="S1397" t="n">
        <v>4</v>
      </c>
      <c r="T1397" t="n">
        <v>4</v>
      </c>
      <c r="U1397" t="inlineStr">
        <is>
          <t>2006-11-28</t>
        </is>
      </c>
      <c r="V1397" t="inlineStr">
        <is>
          <t>2006-11-28</t>
        </is>
      </c>
      <c r="W1397" t="inlineStr">
        <is>
          <t>1995-05-04</t>
        </is>
      </c>
      <c r="X1397" t="inlineStr">
        <is>
          <t>1995-05-04</t>
        </is>
      </c>
      <c r="Y1397" t="n">
        <v>312</v>
      </c>
      <c r="Z1397" t="n">
        <v>280</v>
      </c>
      <c r="AA1397" t="n">
        <v>546</v>
      </c>
      <c r="AB1397" t="n">
        <v>4</v>
      </c>
      <c r="AC1397" t="n">
        <v>7</v>
      </c>
      <c r="AD1397" t="n">
        <v>16</v>
      </c>
      <c r="AE1397" t="n">
        <v>32</v>
      </c>
      <c r="AF1397" t="n">
        <v>4</v>
      </c>
      <c r="AG1397" t="n">
        <v>10</v>
      </c>
      <c r="AH1397" t="n">
        <v>2</v>
      </c>
      <c r="AI1397" t="n">
        <v>4</v>
      </c>
      <c r="AJ1397" t="n">
        <v>5</v>
      </c>
      <c r="AK1397" t="n">
        <v>12</v>
      </c>
      <c r="AL1397" t="n">
        <v>2</v>
      </c>
      <c r="AM1397" t="n">
        <v>5</v>
      </c>
      <c r="AN1397" t="n">
        <v>5</v>
      </c>
      <c r="AO1397" t="n">
        <v>6</v>
      </c>
      <c r="AP1397" t="inlineStr">
        <is>
          <t>No</t>
        </is>
      </c>
      <c r="AQ1397" t="inlineStr">
        <is>
          <t>Yes</t>
        </is>
      </c>
      <c r="AR1397">
        <f>HYPERLINK("http://catalog.hathitrust.org/Record/004403607","HathiTrust Record")</f>
        <v/>
      </c>
      <c r="AS1397">
        <f>HYPERLINK("https://creighton-primo.hosted.exlibrisgroup.com/primo-explore/search?tab=default_tab&amp;search_scope=EVERYTHING&amp;vid=01CRU&amp;lang=en_US&amp;offset=0&amp;query=any,contains,991002809259702656","Catalog Record")</f>
        <v/>
      </c>
      <c r="AT1397">
        <f>HYPERLINK("http://www.worldcat.org/oclc/451747","WorldCat Record")</f>
        <v/>
      </c>
      <c r="AU1397" t="inlineStr">
        <is>
          <t>422743397:eng</t>
        </is>
      </c>
      <c r="AV1397" t="inlineStr">
        <is>
          <t>451747</t>
        </is>
      </c>
      <c r="AW1397" t="inlineStr">
        <is>
          <t>991002809259702656</t>
        </is>
      </c>
      <c r="AX1397" t="inlineStr">
        <is>
          <t>991002809259702656</t>
        </is>
      </c>
      <c r="AY1397" t="inlineStr">
        <is>
          <t>2261045670002656</t>
        </is>
      </c>
      <c r="AZ1397" t="inlineStr">
        <is>
          <t>BOOK</t>
        </is>
      </c>
      <c r="BC1397" t="inlineStr">
        <is>
          <t>32285002032042</t>
        </is>
      </c>
      <c r="BD1397" t="inlineStr">
        <is>
          <t>893335749</t>
        </is>
      </c>
    </row>
    <row r="1398">
      <c r="A1398" t="inlineStr">
        <is>
          <t>No</t>
        </is>
      </c>
      <c r="B1398" t="inlineStr">
        <is>
          <t>HV9466 .M69</t>
        </is>
      </c>
      <c r="C1398" t="inlineStr">
        <is>
          <t>0                      HV 9466000M  69</t>
        </is>
      </c>
      <c r="D1398" t="inlineStr">
        <is>
          <t>The American jail : its development and growth / J. M. Moynahan and Earle K. Stewart.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K1398" t="inlineStr">
        <is>
          <t>Moynahan, J. M.</t>
        </is>
      </c>
      <c r="L1398" t="inlineStr">
        <is>
          <t>Chicago : Nelson-Hall, 1980.</t>
        </is>
      </c>
      <c r="M1398" t="inlineStr">
        <is>
          <t>1979</t>
        </is>
      </c>
      <c r="O1398" t="inlineStr">
        <is>
          <t>eng</t>
        </is>
      </c>
      <c r="P1398" t="inlineStr">
        <is>
          <t>ilu</t>
        </is>
      </c>
      <c r="R1398" t="inlineStr">
        <is>
          <t xml:space="preserve">HV </t>
        </is>
      </c>
      <c r="S1398" t="n">
        <v>7</v>
      </c>
      <c r="T1398" t="n">
        <v>7</v>
      </c>
      <c r="U1398" t="inlineStr">
        <is>
          <t>1999-04-17</t>
        </is>
      </c>
      <c r="V1398" t="inlineStr">
        <is>
          <t>1999-04-17</t>
        </is>
      </c>
      <c r="W1398" t="inlineStr">
        <is>
          <t>1992-07-15</t>
        </is>
      </c>
      <c r="X1398" t="inlineStr">
        <is>
          <t>1992-07-15</t>
        </is>
      </c>
      <c r="Y1398" t="n">
        <v>495</v>
      </c>
      <c r="Z1398" t="n">
        <v>466</v>
      </c>
      <c r="AA1398" t="n">
        <v>477</v>
      </c>
      <c r="AB1398" t="n">
        <v>3</v>
      </c>
      <c r="AC1398" t="n">
        <v>4</v>
      </c>
      <c r="AD1398" t="n">
        <v>23</v>
      </c>
      <c r="AE1398" t="n">
        <v>24</v>
      </c>
      <c r="AF1398" t="n">
        <v>4</v>
      </c>
      <c r="AG1398" t="n">
        <v>4</v>
      </c>
      <c r="AH1398" t="n">
        <v>3</v>
      </c>
      <c r="AI1398" t="n">
        <v>3</v>
      </c>
      <c r="AJ1398" t="n">
        <v>10</v>
      </c>
      <c r="AK1398" t="n">
        <v>10</v>
      </c>
      <c r="AL1398" t="n">
        <v>2</v>
      </c>
      <c r="AM1398" t="n">
        <v>3</v>
      </c>
      <c r="AN1398" t="n">
        <v>7</v>
      </c>
      <c r="AO1398" t="n">
        <v>7</v>
      </c>
      <c r="AP1398" t="inlineStr">
        <is>
          <t>No</t>
        </is>
      </c>
      <c r="AQ1398" t="inlineStr">
        <is>
          <t>No</t>
        </is>
      </c>
      <c r="AS1398">
        <f>HYPERLINK("https://creighton-primo.hosted.exlibrisgroup.com/primo-explore/search?tab=default_tab&amp;search_scope=EVERYTHING&amp;vid=01CRU&amp;lang=en_US&amp;offset=0&amp;query=any,contains,991004816679702656","Catalog Record")</f>
        <v/>
      </c>
      <c r="AT1398">
        <f>HYPERLINK("http://www.worldcat.org/oclc/5310693","WorldCat Record")</f>
        <v/>
      </c>
      <c r="AU1398" t="inlineStr">
        <is>
          <t>194964466:eng</t>
        </is>
      </c>
      <c r="AV1398" t="inlineStr">
        <is>
          <t>5310693</t>
        </is>
      </c>
      <c r="AW1398" t="inlineStr">
        <is>
          <t>991004816679702656</t>
        </is>
      </c>
      <c r="AX1398" t="inlineStr">
        <is>
          <t>991004816679702656</t>
        </is>
      </c>
      <c r="AY1398" t="inlineStr">
        <is>
          <t>2264435640002656</t>
        </is>
      </c>
      <c r="AZ1398" t="inlineStr">
        <is>
          <t>BOOK</t>
        </is>
      </c>
      <c r="BB1398" t="inlineStr">
        <is>
          <t>9780882295312</t>
        </is>
      </c>
      <c r="BC1398" t="inlineStr">
        <is>
          <t>32285001183390</t>
        </is>
      </c>
      <c r="BD1398" t="inlineStr">
        <is>
          <t>893876609</t>
        </is>
      </c>
    </row>
    <row r="1399">
      <c r="A1399" t="inlineStr">
        <is>
          <t>No</t>
        </is>
      </c>
      <c r="B1399" t="inlineStr">
        <is>
          <t>HV9466 .R34 1985</t>
        </is>
      </c>
      <c r="C1399" t="inlineStr">
        <is>
          <t>0                      HV 9466000R  34          1985</t>
        </is>
      </c>
      <c r="D1399" t="inlineStr">
        <is>
          <t>Partial justice : women in state prisons, 1800-1935 / Nicole Hahn Rafter.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Rafter, Nicole Hahn, 1939-</t>
        </is>
      </c>
      <c r="L1399" t="inlineStr">
        <is>
          <t>Boston, MA : Northeastern University Press, c1985.</t>
        </is>
      </c>
      <c r="M1399" t="inlineStr">
        <is>
          <t>1985</t>
        </is>
      </c>
      <c r="O1399" t="inlineStr">
        <is>
          <t>eng</t>
        </is>
      </c>
      <c r="P1399" t="inlineStr">
        <is>
          <t>mau</t>
        </is>
      </c>
      <c r="R1399" t="inlineStr">
        <is>
          <t xml:space="preserve">HV </t>
        </is>
      </c>
      <c r="S1399" t="n">
        <v>1</v>
      </c>
      <c r="T1399" t="n">
        <v>1</v>
      </c>
      <c r="U1399" t="inlineStr">
        <is>
          <t>2010-02-08</t>
        </is>
      </c>
      <c r="V1399" t="inlineStr">
        <is>
          <t>2010-02-08</t>
        </is>
      </c>
      <c r="W1399" t="inlineStr">
        <is>
          <t>1992-07-15</t>
        </is>
      </c>
      <c r="X1399" t="inlineStr">
        <is>
          <t>1992-07-15</t>
        </is>
      </c>
      <c r="Y1399" t="n">
        <v>634</v>
      </c>
      <c r="Z1399" t="n">
        <v>575</v>
      </c>
      <c r="AA1399" t="n">
        <v>581</v>
      </c>
      <c r="AB1399" t="n">
        <v>7</v>
      </c>
      <c r="AC1399" t="n">
        <v>7</v>
      </c>
      <c r="AD1399" t="n">
        <v>31</v>
      </c>
      <c r="AE1399" t="n">
        <v>31</v>
      </c>
      <c r="AF1399" t="n">
        <v>10</v>
      </c>
      <c r="AG1399" t="n">
        <v>10</v>
      </c>
      <c r="AH1399" t="n">
        <v>5</v>
      </c>
      <c r="AI1399" t="n">
        <v>5</v>
      </c>
      <c r="AJ1399" t="n">
        <v>10</v>
      </c>
      <c r="AK1399" t="n">
        <v>10</v>
      </c>
      <c r="AL1399" t="n">
        <v>4</v>
      </c>
      <c r="AM1399" t="n">
        <v>4</v>
      </c>
      <c r="AN1399" t="n">
        <v>7</v>
      </c>
      <c r="AO1399" t="n">
        <v>7</v>
      </c>
      <c r="AP1399" t="inlineStr">
        <is>
          <t>No</t>
        </is>
      </c>
      <c r="AQ1399" t="inlineStr">
        <is>
          <t>No</t>
        </is>
      </c>
      <c r="AS1399">
        <f>HYPERLINK("https://creighton-primo.hosted.exlibrisgroup.com/primo-explore/search?tab=default_tab&amp;search_scope=EVERYTHING&amp;vid=01CRU&amp;lang=en_US&amp;offset=0&amp;query=any,contains,991000417659702656","Catalog Record")</f>
        <v/>
      </c>
      <c r="AT1399">
        <f>HYPERLINK("http://www.worldcat.org/oclc/10725673","WorldCat Record")</f>
        <v/>
      </c>
      <c r="AU1399" t="inlineStr">
        <is>
          <t>3443640:eng</t>
        </is>
      </c>
      <c r="AV1399" t="inlineStr">
        <is>
          <t>10725673</t>
        </is>
      </c>
      <c r="AW1399" t="inlineStr">
        <is>
          <t>991000417659702656</t>
        </is>
      </c>
      <c r="AX1399" t="inlineStr">
        <is>
          <t>991000417659702656</t>
        </is>
      </c>
      <c r="AY1399" t="inlineStr">
        <is>
          <t>2263752010002656</t>
        </is>
      </c>
      <c r="AZ1399" t="inlineStr">
        <is>
          <t>BOOK</t>
        </is>
      </c>
      <c r="BB1399" t="inlineStr">
        <is>
          <t>9780930350635</t>
        </is>
      </c>
      <c r="BC1399" t="inlineStr">
        <is>
          <t>32285001183408</t>
        </is>
      </c>
      <c r="BD1399" t="inlineStr">
        <is>
          <t>893528029</t>
        </is>
      </c>
    </row>
    <row r="1400">
      <c r="A1400" t="inlineStr">
        <is>
          <t>No</t>
        </is>
      </c>
      <c r="B1400" t="inlineStr">
        <is>
          <t>HV9466 .R63 2006</t>
        </is>
      </c>
      <c r="C1400" t="inlineStr">
        <is>
          <t>0                      HV 9466000R  63          2006</t>
        </is>
      </c>
      <c r="D1400" t="inlineStr">
        <is>
          <t>Forced passages : imprisoned radical intellectuals and the U.S. prison regime / Dylan Rodriguez.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K1400" t="inlineStr">
        <is>
          <t>Rodriguez, Dylan.</t>
        </is>
      </c>
      <c r="L1400" t="inlineStr">
        <is>
          <t>Minneapolis : University of Minnesota Press, c2006.</t>
        </is>
      </c>
      <c r="M1400" t="inlineStr">
        <is>
          <t>2006</t>
        </is>
      </c>
      <c r="O1400" t="inlineStr">
        <is>
          <t>eng</t>
        </is>
      </c>
      <c r="P1400" t="inlineStr">
        <is>
          <t>mnu</t>
        </is>
      </c>
      <c r="R1400" t="inlineStr">
        <is>
          <t xml:space="preserve">HV </t>
        </is>
      </c>
      <c r="S1400" t="n">
        <v>1</v>
      </c>
      <c r="T1400" t="n">
        <v>1</v>
      </c>
      <c r="U1400" t="inlineStr">
        <is>
          <t>2007-01-08</t>
        </is>
      </c>
      <c r="V1400" t="inlineStr">
        <is>
          <t>2007-01-08</t>
        </is>
      </c>
      <c r="W1400" t="inlineStr">
        <is>
          <t>2007-01-08</t>
        </is>
      </c>
      <c r="X1400" t="inlineStr">
        <is>
          <t>2007-01-08</t>
        </is>
      </c>
      <c r="Y1400" t="n">
        <v>313</v>
      </c>
      <c r="Z1400" t="n">
        <v>277</v>
      </c>
      <c r="AA1400" t="n">
        <v>985</v>
      </c>
      <c r="AB1400" t="n">
        <v>3</v>
      </c>
      <c r="AC1400" t="n">
        <v>24</v>
      </c>
      <c r="AD1400" t="n">
        <v>15</v>
      </c>
      <c r="AE1400" t="n">
        <v>45</v>
      </c>
      <c r="AF1400" t="n">
        <v>5</v>
      </c>
      <c r="AG1400" t="n">
        <v>16</v>
      </c>
      <c r="AH1400" t="n">
        <v>5</v>
      </c>
      <c r="AI1400" t="n">
        <v>9</v>
      </c>
      <c r="AJ1400" t="n">
        <v>6</v>
      </c>
      <c r="AK1400" t="n">
        <v>14</v>
      </c>
      <c r="AL1400" t="n">
        <v>2</v>
      </c>
      <c r="AM1400" t="n">
        <v>12</v>
      </c>
      <c r="AN1400" t="n">
        <v>0</v>
      </c>
      <c r="AO1400" t="n">
        <v>1</v>
      </c>
      <c r="AP1400" t="inlineStr">
        <is>
          <t>No</t>
        </is>
      </c>
      <c r="AQ1400" t="inlineStr">
        <is>
          <t>No</t>
        </is>
      </c>
      <c r="AS1400">
        <f>HYPERLINK("https://creighton-primo.hosted.exlibrisgroup.com/primo-explore/search?tab=default_tab&amp;search_scope=EVERYTHING&amp;vid=01CRU&amp;lang=en_US&amp;offset=0&amp;query=any,contains,991004991539702656","Catalog Record")</f>
        <v/>
      </c>
      <c r="AT1400">
        <f>HYPERLINK("http://www.worldcat.org/oclc/61461513","WorldCat Record")</f>
        <v/>
      </c>
      <c r="AU1400" t="inlineStr">
        <is>
          <t>801945692:eng</t>
        </is>
      </c>
      <c r="AV1400" t="inlineStr">
        <is>
          <t>61461513</t>
        </is>
      </c>
      <c r="AW1400" t="inlineStr">
        <is>
          <t>991004991539702656</t>
        </is>
      </c>
      <c r="AX1400" t="inlineStr">
        <is>
          <t>991004991539702656</t>
        </is>
      </c>
      <c r="AY1400" t="inlineStr">
        <is>
          <t>2267230810002656</t>
        </is>
      </c>
      <c r="AZ1400" t="inlineStr">
        <is>
          <t>BOOK</t>
        </is>
      </c>
      <c r="BB1400" t="inlineStr">
        <is>
          <t>9780816645602</t>
        </is>
      </c>
      <c r="BC1400" t="inlineStr">
        <is>
          <t>32285005268783</t>
        </is>
      </c>
      <c r="BD1400" t="inlineStr">
        <is>
          <t>893713291</t>
        </is>
      </c>
    </row>
    <row r="1401">
      <c r="A1401" t="inlineStr">
        <is>
          <t>No</t>
        </is>
      </c>
      <c r="B1401" t="inlineStr">
        <is>
          <t>HV9468 .C44 2006</t>
        </is>
      </c>
      <c r="C1401" t="inlineStr">
        <is>
          <t>0                      HV 9468000C  44          2006</t>
        </is>
      </c>
      <c r="D1401" t="inlineStr">
        <is>
          <t>Back from the dead : one woman's search for the men who walked off America's death row / Joan M. Cheever.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K1401" t="inlineStr">
        <is>
          <t>Cheever, Joan M.</t>
        </is>
      </c>
      <c r="L1401" t="inlineStr">
        <is>
          <t>Chichester, England ; Hoboken, NJ : John Wiley, 2006.</t>
        </is>
      </c>
      <c r="M1401" t="inlineStr">
        <is>
          <t>2006</t>
        </is>
      </c>
      <c r="O1401" t="inlineStr">
        <is>
          <t>eng</t>
        </is>
      </c>
      <c r="P1401" t="inlineStr">
        <is>
          <t>enk</t>
        </is>
      </c>
      <c r="R1401" t="inlineStr">
        <is>
          <t xml:space="preserve">HV </t>
        </is>
      </c>
      <c r="S1401" t="n">
        <v>2</v>
      </c>
      <c r="T1401" t="n">
        <v>2</v>
      </c>
      <c r="U1401" t="inlineStr">
        <is>
          <t>2007-02-20</t>
        </is>
      </c>
      <c r="V1401" t="inlineStr">
        <is>
          <t>2007-02-20</t>
        </is>
      </c>
      <c r="W1401" t="inlineStr">
        <is>
          <t>2006-12-07</t>
        </is>
      </c>
      <c r="X1401" t="inlineStr">
        <is>
          <t>2006-12-07</t>
        </is>
      </c>
      <c r="Y1401" t="n">
        <v>762</v>
      </c>
      <c r="Z1401" t="n">
        <v>695</v>
      </c>
      <c r="AA1401" t="n">
        <v>695</v>
      </c>
      <c r="AB1401" t="n">
        <v>6</v>
      </c>
      <c r="AC1401" t="n">
        <v>6</v>
      </c>
      <c r="AD1401" t="n">
        <v>20</v>
      </c>
      <c r="AE1401" t="n">
        <v>20</v>
      </c>
      <c r="AF1401" t="n">
        <v>9</v>
      </c>
      <c r="AG1401" t="n">
        <v>9</v>
      </c>
      <c r="AH1401" t="n">
        <v>1</v>
      </c>
      <c r="AI1401" t="n">
        <v>1</v>
      </c>
      <c r="AJ1401" t="n">
        <v>7</v>
      </c>
      <c r="AK1401" t="n">
        <v>7</v>
      </c>
      <c r="AL1401" t="n">
        <v>3</v>
      </c>
      <c r="AM1401" t="n">
        <v>3</v>
      </c>
      <c r="AN1401" t="n">
        <v>3</v>
      </c>
      <c r="AO1401" t="n">
        <v>3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HYPERLINK("https://creighton-primo.hosted.exlibrisgroup.com/primo-explore/search?tab=default_tab&amp;search_scope=EVERYTHING&amp;vid=01CRU&amp;lang=en_US&amp;offset=0&amp;query=any,contains,991004953399702656","Catalog Record")</f>
        <v/>
      </c>
      <c r="AT1401">
        <f>HYPERLINK("http://www.worldcat.org/oclc/63186137","WorldCat Record")</f>
        <v/>
      </c>
      <c r="AU1401" t="inlineStr">
        <is>
          <t>52295097:eng</t>
        </is>
      </c>
      <c r="AV1401" t="inlineStr">
        <is>
          <t>63186137</t>
        </is>
      </c>
      <c r="AW1401" t="inlineStr">
        <is>
          <t>991004953399702656</t>
        </is>
      </c>
      <c r="AX1401" t="inlineStr">
        <is>
          <t>991004953399702656</t>
        </is>
      </c>
      <c r="AY1401" t="inlineStr">
        <is>
          <t>2271989120002656</t>
        </is>
      </c>
      <c r="AZ1401" t="inlineStr">
        <is>
          <t>BOOK</t>
        </is>
      </c>
      <c r="BB1401" t="inlineStr">
        <is>
          <t>9780470017500</t>
        </is>
      </c>
      <c r="BC1401" t="inlineStr">
        <is>
          <t>32285005264840</t>
        </is>
      </c>
      <c r="BD1401" t="inlineStr">
        <is>
          <t>893707045</t>
        </is>
      </c>
    </row>
    <row r="1402">
      <c r="A1402" t="inlineStr">
        <is>
          <t>No</t>
        </is>
      </c>
      <c r="B1402" t="inlineStr">
        <is>
          <t>HV9468 .J65 2003</t>
        </is>
      </c>
      <c r="C1402" t="inlineStr">
        <is>
          <t>0                      HV 9468000J  65          2003</t>
        </is>
      </c>
      <c r="D1402" t="inlineStr">
        <is>
          <t>Inner lives : voices of African American women in prison / Paula C. Johnson ; with a foreword by Joyce A. Logan and an afterword by Angela J. Davis.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K1402" t="inlineStr">
        <is>
          <t>Johnson, Paula C.</t>
        </is>
      </c>
      <c r="L1402" t="inlineStr">
        <is>
          <t>New York : New York University Press, c2003.</t>
        </is>
      </c>
      <c r="M1402" t="inlineStr">
        <is>
          <t>2003</t>
        </is>
      </c>
      <c r="O1402" t="inlineStr">
        <is>
          <t>eng</t>
        </is>
      </c>
      <c r="P1402" t="inlineStr">
        <is>
          <t>nyu</t>
        </is>
      </c>
      <c r="R1402" t="inlineStr">
        <is>
          <t xml:space="preserve">HV </t>
        </is>
      </c>
      <c r="S1402" t="n">
        <v>2</v>
      </c>
      <c r="T1402" t="n">
        <v>2</v>
      </c>
      <c r="U1402" t="inlineStr">
        <is>
          <t>2004-02-11</t>
        </is>
      </c>
      <c r="V1402" t="inlineStr">
        <is>
          <t>2004-02-11</t>
        </is>
      </c>
      <c r="W1402" t="inlineStr">
        <is>
          <t>2004-02-11</t>
        </is>
      </c>
      <c r="X1402" t="inlineStr">
        <is>
          <t>2004-02-11</t>
        </is>
      </c>
      <c r="Y1402" t="n">
        <v>781</v>
      </c>
      <c r="Z1402" t="n">
        <v>735</v>
      </c>
      <c r="AA1402" t="n">
        <v>1342</v>
      </c>
      <c r="AB1402" t="n">
        <v>6</v>
      </c>
      <c r="AC1402" t="n">
        <v>32</v>
      </c>
      <c r="AD1402" t="n">
        <v>38</v>
      </c>
      <c r="AE1402" t="n">
        <v>55</v>
      </c>
      <c r="AF1402" t="n">
        <v>15</v>
      </c>
      <c r="AG1402" t="n">
        <v>20</v>
      </c>
      <c r="AH1402" t="n">
        <v>6</v>
      </c>
      <c r="AI1402" t="n">
        <v>8</v>
      </c>
      <c r="AJ1402" t="n">
        <v>15</v>
      </c>
      <c r="AK1402" t="n">
        <v>17</v>
      </c>
      <c r="AL1402" t="n">
        <v>4</v>
      </c>
      <c r="AM1402" t="n">
        <v>12</v>
      </c>
      <c r="AN1402" t="n">
        <v>6</v>
      </c>
      <c r="AO1402" t="n">
        <v>7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HYPERLINK("https://creighton-primo.hosted.exlibrisgroup.com/primo-explore/search?tab=default_tab&amp;search_scope=EVERYTHING&amp;vid=01CRU&amp;lang=en_US&amp;offset=0&amp;query=any,contains,991004213779702656","Catalog Record")</f>
        <v/>
      </c>
      <c r="AT1402">
        <f>HYPERLINK("http://www.worldcat.org/oclc/50520521","WorldCat Record")</f>
        <v/>
      </c>
      <c r="AU1402" t="inlineStr">
        <is>
          <t>793945369:eng</t>
        </is>
      </c>
      <c r="AV1402" t="inlineStr">
        <is>
          <t>50520521</t>
        </is>
      </c>
      <c r="AW1402" t="inlineStr">
        <is>
          <t>991004213779702656</t>
        </is>
      </c>
      <c r="AX1402" t="inlineStr">
        <is>
          <t>991004213779702656</t>
        </is>
      </c>
      <c r="AY1402" t="inlineStr">
        <is>
          <t>2255084570002656</t>
        </is>
      </c>
      <c r="AZ1402" t="inlineStr">
        <is>
          <t>BOOK</t>
        </is>
      </c>
      <c r="BB1402" t="inlineStr">
        <is>
          <t>9780814742549</t>
        </is>
      </c>
      <c r="BC1402" t="inlineStr">
        <is>
          <t>32285004638275</t>
        </is>
      </c>
      <c r="BD1402" t="inlineStr">
        <is>
          <t>893624483</t>
        </is>
      </c>
    </row>
    <row r="1403">
      <c r="A1403" t="inlineStr">
        <is>
          <t>No</t>
        </is>
      </c>
      <c r="B1403" t="inlineStr">
        <is>
          <t>HV9468 .S24</t>
        </is>
      </c>
      <c r="C1403" t="inlineStr">
        <is>
          <t>0                      HV 9468000S  24</t>
        </is>
      </c>
      <c r="D1403" t="inlineStr">
        <is>
          <t>Love and evil; from a probation officer's casebook [by] Dan Sakall and Alan Harrington.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K1403" t="inlineStr">
        <is>
          <t>Sakall, Dan.</t>
        </is>
      </c>
      <c r="L1403" t="inlineStr">
        <is>
          <t>Boston, Little, Brown [1974]</t>
        </is>
      </c>
      <c r="M1403" t="inlineStr">
        <is>
          <t>1974</t>
        </is>
      </c>
      <c r="N1403" t="inlineStr">
        <is>
          <t>[1st ed.]</t>
        </is>
      </c>
      <c r="O1403" t="inlineStr">
        <is>
          <t>eng</t>
        </is>
      </c>
      <c r="P1403" t="inlineStr">
        <is>
          <t>mau</t>
        </is>
      </c>
      <c r="R1403" t="inlineStr">
        <is>
          <t xml:space="preserve">HV </t>
        </is>
      </c>
      <c r="S1403" t="n">
        <v>0</v>
      </c>
      <c r="T1403" t="n">
        <v>0</v>
      </c>
      <c r="U1403" t="inlineStr">
        <is>
          <t>2002-06-17</t>
        </is>
      </c>
      <c r="V1403" t="inlineStr">
        <is>
          <t>2002-06-17</t>
        </is>
      </c>
      <c r="W1403" t="inlineStr">
        <is>
          <t>1997-08-26</t>
        </is>
      </c>
      <c r="X1403" t="inlineStr">
        <is>
          <t>1997-08-26</t>
        </is>
      </c>
      <c r="Y1403" t="n">
        <v>296</v>
      </c>
      <c r="Z1403" t="n">
        <v>270</v>
      </c>
      <c r="AA1403" t="n">
        <v>270</v>
      </c>
      <c r="AB1403" t="n">
        <v>5</v>
      </c>
      <c r="AC1403" t="n">
        <v>5</v>
      </c>
      <c r="AD1403" t="n">
        <v>11</v>
      </c>
      <c r="AE1403" t="n">
        <v>11</v>
      </c>
      <c r="AF1403" t="n">
        <v>2</v>
      </c>
      <c r="AG1403" t="n">
        <v>2</v>
      </c>
      <c r="AH1403" t="n">
        <v>1</v>
      </c>
      <c r="AI1403" t="n">
        <v>1</v>
      </c>
      <c r="AJ1403" t="n">
        <v>5</v>
      </c>
      <c r="AK1403" t="n">
        <v>5</v>
      </c>
      <c r="AL1403" t="n">
        <v>2</v>
      </c>
      <c r="AM1403" t="n">
        <v>2</v>
      </c>
      <c r="AN1403" t="n">
        <v>2</v>
      </c>
      <c r="AO1403" t="n">
        <v>2</v>
      </c>
      <c r="AP1403" t="inlineStr">
        <is>
          <t>No</t>
        </is>
      </c>
      <c r="AQ1403" t="inlineStr">
        <is>
          <t>No</t>
        </is>
      </c>
      <c r="AS1403">
        <f>HYPERLINK("https://creighton-primo.hosted.exlibrisgroup.com/primo-explore/search?tab=default_tab&amp;search_scope=EVERYTHING&amp;vid=01CRU&amp;lang=en_US&amp;offset=0&amp;query=any,contains,991003289339702656","Catalog Record")</f>
        <v/>
      </c>
      <c r="AT1403">
        <f>HYPERLINK("http://www.worldcat.org/oclc/811008","WorldCat Record")</f>
        <v/>
      </c>
      <c r="AU1403" t="inlineStr">
        <is>
          <t>1652247:eng</t>
        </is>
      </c>
      <c r="AV1403" t="inlineStr">
        <is>
          <t>811008</t>
        </is>
      </c>
      <c r="AW1403" t="inlineStr">
        <is>
          <t>991003289339702656</t>
        </is>
      </c>
      <c r="AX1403" t="inlineStr">
        <is>
          <t>991003289339702656</t>
        </is>
      </c>
      <c r="AY1403" t="inlineStr">
        <is>
          <t>2269474490002656</t>
        </is>
      </c>
      <c r="AZ1403" t="inlineStr">
        <is>
          <t>BOOK</t>
        </is>
      </c>
      <c r="BB1403" t="inlineStr">
        <is>
          <t>9780316347600</t>
        </is>
      </c>
      <c r="BC1403" t="inlineStr">
        <is>
          <t>32285003190088</t>
        </is>
      </c>
      <c r="BD1403" t="inlineStr">
        <is>
          <t>893717502</t>
        </is>
      </c>
    </row>
    <row r="1404">
      <c r="A1404" t="inlineStr">
        <is>
          <t>No</t>
        </is>
      </c>
      <c r="B1404" t="inlineStr">
        <is>
          <t>HV9468.H23 A3 1988</t>
        </is>
      </c>
      <c r="C1404" t="inlineStr">
        <is>
          <t>0                      HV 9468000H  23                 A  3           1988</t>
        </is>
      </c>
      <c r="D1404" t="inlineStr">
        <is>
          <t>They always call us ladies : stories from prison / Jean Harris.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Harris, Jean, 1923-2012.</t>
        </is>
      </c>
      <c r="L1404" t="inlineStr">
        <is>
          <t>New York : Scribner's : Special Sales Director, Macmillan Pub. Co. [distributor], c1988.</t>
        </is>
      </c>
      <c r="M1404" t="inlineStr">
        <is>
          <t>1988</t>
        </is>
      </c>
      <c r="O1404" t="inlineStr">
        <is>
          <t>eng</t>
        </is>
      </c>
      <c r="P1404" t="inlineStr">
        <is>
          <t>nyu</t>
        </is>
      </c>
      <c r="R1404" t="inlineStr">
        <is>
          <t xml:space="preserve">HV </t>
        </is>
      </c>
      <c r="S1404" t="n">
        <v>5</v>
      </c>
      <c r="T1404" t="n">
        <v>5</v>
      </c>
      <c r="U1404" t="inlineStr">
        <is>
          <t>2010-04-22</t>
        </is>
      </c>
      <c r="V1404" t="inlineStr">
        <is>
          <t>2010-04-22</t>
        </is>
      </c>
      <c r="W1404" t="inlineStr">
        <is>
          <t>1992-07-15</t>
        </is>
      </c>
      <c r="X1404" t="inlineStr">
        <is>
          <t>1992-07-15</t>
        </is>
      </c>
      <c r="Y1404" t="n">
        <v>1066</v>
      </c>
      <c r="Z1404" t="n">
        <v>1016</v>
      </c>
      <c r="AA1404" t="n">
        <v>1052</v>
      </c>
      <c r="AB1404" t="n">
        <v>10</v>
      </c>
      <c r="AC1404" t="n">
        <v>10</v>
      </c>
      <c r="AD1404" t="n">
        <v>14</v>
      </c>
      <c r="AE1404" t="n">
        <v>15</v>
      </c>
      <c r="AF1404" t="n">
        <v>5</v>
      </c>
      <c r="AG1404" t="n">
        <v>5</v>
      </c>
      <c r="AH1404" t="n">
        <v>2</v>
      </c>
      <c r="AI1404" t="n">
        <v>2</v>
      </c>
      <c r="AJ1404" t="n">
        <v>8</v>
      </c>
      <c r="AK1404" t="n">
        <v>9</v>
      </c>
      <c r="AL1404" t="n">
        <v>2</v>
      </c>
      <c r="AM1404" t="n">
        <v>2</v>
      </c>
      <c r="AN1404" t="n">
        <v>1</v>
      </c>
      <c r="AO1404" t="n">
        <v>1</v>
      </c>
      <c r="AP1404" t="inlineStr">
        <is>
          <t>No</t>
        </is>
      </c>
      <c r="AQ1404" t="inlineStr">
        <is>
          <t>No</t>
        </is>
      </c>
      <c r="AS1404">
        <f>HYPERLINK("https://creighton-primo.hosted.exlibrisgroup.com/primo-explore/search?tab=default_tab&amp;search_scope=EVERYTHING&amp;vid=01CRU&amp;lang=en_US&amp;offset=0&amp;query=any,contains,991001270819702656","Catalog Record")</f>
        <v/>
      </c>
      <c r="AT1404">
        <f>HYPERLINK("http://www.worldcat.org/oclc/17841282","WorldCat Record")</f>
        <v/>
      </c>
      <c r="AU1404" t="inlineStr">
        <is>
          <t>356013:eng</t>
        </is>
      </c>
      <c r="AV1404" t="inlineStr">
        <is>
          <t>17841282</t>
        </is>
      </c>
      <c r="AW1404" t="inlineStr">
        <is>
          <t>991001270819702656</t>
        </is>
      </c>
      <c r="AX1404" t="inlineStr">
        <is>
          <t>991001270819702656</t>
        </is>
      </c>
      <c r="AY1404" t="inlineStr">
        <is>
          <t>2268898260002656</t>
        </is>
      </c>
      <c r="AZ1404" t="inlineStr">
        <is>
          <t>BOOK</t>
        </is>
      </c>
      <c r="BB1404" t="inlineStr">
        <is>
          <t>9780684189635</t>
        </is>
      </c>
      <c r="BC1404" t="inlineStr">
        <is>
          <t>32285001183416</t>
        </is>
      </c>
      <c r="BD1404" t="inlineStr">
        <is>
          <t>893503267</t>
        </is>
      </c>
    </row>
    <row r="1405">
      <c r="A1405" t="inlineStr">
        <is>
          <t>No</t>
        </is>
      </c>
      <c r="B1405" t="inlineStr">
        <is>
          <t>HV9468.O35 A34 1976</t>
        </is>
      </c>
      <c r="C1405" t="inlineStr">
        <is>
          <t>0                      HV 9468000O  35                 A  34          1976</t>
        </is>
      </c>
      <c r="D1405" t="inlineStr">
        <is>
          <t>In prison / by Kate Richards O'Hare, sometime Federal prisoner number 21669 ; introd. by Jack M. Holl.</t>
        </is>
      </c>
      <c r="F1405" t="inlineStr">
        <is>
          <t>No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K1405" t="inlineStr">
        <is>
          <t>O'Hare, Kate Richards, 1877-1948.</t>
        </is>
      </c>
      <c r="L1405" t="inlineStr">
        <is>
          <t>Seattle : University of Washington Press, 1976, c1923.</t>
        </is>
      </c>
      <c r="M1405" t="inlineStr">
        <is>
          <t>1976</t>
        </is>
      </c>
      <c r="O1405" t="inlineStr">
        <is>
          <t>eng</t>
        </is>
      </c>
      <c r="P1405" t="inlineStr">
        <is>
          <t>wau</t>
        </is>
      </c>
      <c r="Q1405" t="inlineStr">
        <is>
          <t>Americana library ; 30</t>
        </is>
      </c>
      <c r="R1405" t="inlineStr">
        <is>
          <t xml:space="preserve">HV </t>
        </is>
      </c>
      <c r="S1405" t="n">
        <v>5</v>
      </c>
      <c r="T1405" t="n">
        <v>5</v>
      </c>
      <c r="U1405" t="inlineStr">
        <is>
          <t>2004-03-31</t>
        </is>
      </c>
      <c r="V1405" t="inlineStr">
        <is>
          <t>2004-03-31</t>
        </is>
      </c>
      <c r="W1405" t="inlineStr">
        <is>
          <t>1992-04-27</t>
        </is>
      </c>
      <c r="X1405" t="inlineStr">
        <is>
          <t>1992-04-27</t>
        </is>
      </c>
      <c r="Y1405" t="n">
        <v>182</v>
      </c>
      <c r="Z1405" t="n">
        <v>170</v>
      </c>
      <c r="AA1405" t="n">
        <v>428</v>
      </c>
      <c r="AB1405" t="n">
        <v>2</v>
      </c>
      <c r="AC1405" t="n">
        <v>5</v>
      </c>
      <c r="AD1405" t="n">
        <v>9</v>
      </c>
      <c r="AE1405" t="n">
        <v>32</v>
      </c>
      <c r="AF1405" t="n">
        <v>2</v>
      </c>
      <c r="AG1405" t="n">
        <v>5</v>
      </c>
      <c r="AH1405" t="n">
        <v>1</v>
      </c>
      <c r="AI1405" t="n">
        <v>5</v>
      </c>
      <c r="AJ1405" t="n">
        <v>2</v>
      </c>
      <c r="AK1405" t="n">
        <v>5</v>
      </c>
      <c r="AL1405" t="n">
        <v>1</v>
      </c>
      <c r="AM1405" t="n">
        <v>2</v>
      </c>
      <c r="AN1405" t="n">
        <v>3</v>
      </c>
      <c r="AO1405" t="n">
        <v>18</v>
      </c>
      <c r="AP1405" t="inlineStr">
        <is>
          <t>No</t>
        </is>
      </c>
      <c r="AQ1405" t="inlineStr">
        <is>
          <t>No</t>
        </is>
      </c>
      <c r="AS1405">
        <f>HYPERLINK("https://creighton-primo.hosted.exlibrisgroup.com/primo-explore/search?tab=default_tab&amp;search_scope=EVERYTHING&amp;vid=01CRU&amp;lang=en_US&amp;offset=0&amp;query=any,contains,991004292669702656","Catalog Record")</f>
        <v/>
      </c>
      <c r="AT1405">
        <f>HYPERLINK("http://www.worldcat.org/oclc/2953012","WorldCat Record")</f>
        <v/>
      </c>
      <c r="AU1405" t="inlineStr">
        <is>
          <t>3862176643:eng</t>
        </is>
      </c>
      <c r="AV1405" t="inlineStr">
        <is>
          <t>2953012</t>
        </is>
      </c>
      <c r="AW1405" t="inlineStr">
        <is>
          <t>991004292669702656</t>
        </is>
      </c>
      <c r="AX1405" t="inlineStr">
        <is>
          <t>991004292669702656</t>
        </is>
      </c>
      <c r="AY1405" t="inlineStr">
        <is>
          <t>2270597250002656</t>
        </is>
      </c>
      <c r="AZ1405" t="inlineStr">
        <is>
          <t>BOOK</t>
        </is>
      </c>
      <c r="BB1405" t="inlineStr">
        <is>
          <t>9780295954516</t>
        </is>
      </c>
      <c r="BC1405" t="inlineStr">
        <is>
          <t>32285001095602</t>
        </is>
      </c>
      <c r="BD1405" t="inlineStr">
        <is>
          <t>893888525</t>
        </is>
      </c>
    </row>
    <row r="1406">
      <c r="A1406" t="inlineStr">
        <is>
          <t>No</t>
        </is>
      </c>
      <c r="B1406" t="inlineStr">
        <is>
          <t>HV9468.V35 F35 2001</t>
        </is>
      </c>
      <c r="C1406" t="inlineStr">
        <is>
          <t>0                      HV 9468000V  35                 F  35          2001</t>
        </is>
      </c>
      <c r="D1406" t="inlineStr">
        <is>
          <t>The long prison journey of Leslie Van Houten : life beyond the cult / by Karlene Faith.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K1406" t="inlineStr">
        <is>
          <t>Faith, Karlene.</t>
        </is>
      </c>
      <c r="L1406" t="inlineStr">
        <is>
          <t>Boston : Northeastern University Press, 2001.</t>
        </is>
      </c>
      <c r="M1406" t="inlineStr">
        <is>
          <t>2001</t>
        </is>
      </c>
      <c r="O1406" t="inlineStr">
        <is>
          <t>eng</t>
        </is>
      </c>
      <c r="P1406" t="inlineStr">
        <is>
          <t>mau</t>
        </is>
      </c>
      <c r="R1406" t="inlineStr">
        <is>
          <t xml:space="preserve">HV </t>
        </is>
      </c>
      <c r="S1406" t="n">
        <v>5</v>
      </c>
      <c r="T1406" t="n">
        <v>5</v>
      </c>
      <c r="U1406" t="inlineStr">
        <is>
          <t>2007-09-27</t>
        </is>
      </c>
      <c r="V1406" t="inlineStr">
        <is>
          <t>2007-09-27</t>
        </is>
      </c>
      <c r="W1406" t="inlineStr">
        <is>
          <t>2002-03-21</t>
        </is>
      </c>
      <c r="X1406" t="inlineStr">
        <is>
          <t>2002-03-21</t>
        </is>
      </c>
      <c r="Y1406" t="n">
        <v>503</v>
      </c>
      <c r="Z1406" t="n">
        <v>476</v>
      </c>
      <c r="AA1406" t="n">
        <v>493</v>
      </c>
      <c r="AB1406" t="n">
        <v>4</v>
      </c>
      <c r="AC1406" t="n">
        <v>5</v>
      </c>
      <c r="AD1406" t="n">
        <v>16</v>
      </c>
      <c r="AE1406" t="n">
        <v>17</v>
      </c>
      <c r="AF1406" t="n">
        <v>5</v>
      </c>
      <c r="AG1406" t="n">
        <v>5</v>
      </c>
      <c r="AH1406" t="n">
        <v>5</v>
      </c>
      <c r="AI1406" t="n">
        <v>5</v>
      </c>
      <c r="AJ1406" t="n">
        <v>7</v>
      </c>
      <c r="AK1406" t="n">
        <v>7</v>
      </c>
      <c r="AL1406" t="n">
        <v>3</v>
      </c>
      <c r="AM1406" t="n">
        <v>4</v>
      </c>
      <c r="AN1406" t="n">
        <v>1</v>
      </c>
      <c r="AO1406" t="n">
        <v>1</v>
      </c>
      <c r="AP1406" t="inlineStr">
        <is>
          <t>No</t>
        </is>
      </c>
      <c r="AQ1406" t="inlineStr">
        <is>
          <t>No</t>
        </is>
      </c>
      <c r="AS1406">
        <f>HYPERLINK("https://creighton-primo.hosted.exlibrisgroup.com/primo-explore/search?tab=default_tab&amp;search_scope=EVERYTHING&amp;vid=01CRU&amp;lang=en_US&amp;offset=0&amp;query=any,contains,991003755809702656","Catalog Record")</f>
        <v/>
      </c>
      <c r="AT1406">
        <f>HYPERLINK("http://www.worldcat.org/oclc/46394174","WorldCat Record")</f>
        <v/>
      </c>
      <c r="AU1406" t="inlineStr">
        <is>
          <t>35892183:eng</t>
        </is>
      </c>
      <c r="AV1406" t="inlineStr">
        <is>
          <t>46394174</t>
        </is>
      </c>
      <c r="AW1406" t="inlineStr">
        <is>
          <t>991003755809702656</t>
        </is>
      </c>
      <c r="AX1406" t="inlineStr">
        <is>
          <t>991003755809702656</t>
        </is>
      </c>
      <c r="AY1406" t="inlineStr">
        <is>
          <t>2269195560002656</t>
        </is>
      </c>
      <c r="AZ1406" t="inlineStr">
        <is>
          <t>BOOK</t>
        </is>
      </c>
      <c r="BB1406" t="inlineStr">
        <is>
          <t>9781555534813</t>
        </is>
      </c>
      <c r="BC1406" t="inlineStr">
        <is>
          <t>32285004463732</t>
        </is>
      </c>
      <c r="BD1406" t="inlineStr">
        <is>
          <t>893441673</t>
        </is>
      </c>
    </row>
    <row r="1407">
      <c r="A1407" t="inlineStr">
        <is>
          <t>No</t>
        </is>
      </c>
      <c r="B1407" t="inlineStr">
        <is>
          <t>HV9469 .D54 1987</t>
        </is>
      </c>
      <c r="C1407" t="inlineStr">
        <is>
          <t>0                      HV 9469000D  54          1987</t>
        </is>
      </c>
      <c r="D1407" t="inlineStr">
        <is>
          <t>Governing prisons : a comparative study of correctional management / John J. DiIulio, Jr.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K1407" t="inlineStr">
        <is>
          <t>DiIulio, John J., Jr., 1958-</t>
        </is>
      </c>
      <c r="L1407" t="inlineStr">
        <is>
          <t>New York : Free Press ; London : Collier Macmillan, c1987.</t>
        </is>
      </c>
      <c r="M1407" t="inlineStr">
        <is>
          <t>1987</t>
        </is>
      </c>
      <c r="O1407" t="inlineStr">
        <is>
          <t>eng</t>
        </is>
      </c>
      <c r="P1407" t="inlineStr">
        <is>
          <t>nyu</t>
        </is>
      </c>
      <c r="R1407" t="inlineStr">
        <is>
          <t xml:space="preserve">HV </t>
        </is>
      </c>
      <c r="S1407" t="n">
        <v>19</v>
      </c>
      <c r="T1407" t="n">
        <v>19</v>
      </c>
      <c r="U1407" t="inlineStr">
        <is>
          <t>2003-03-18</t>
        </is>
      </c>
      <c r="V1407" t="inlineStr">
        <is>
          <t>2003-03-18</t>
        </is>
      </c>
      <c r="W1407" t="inlineStr">
        <is>
          <t>1992-07-15</t>
        </is>
      </c>
      <c r="X1407" t="inlineStr">
        <is>
          <t>1992-07-15</t>
        </is>
      </c>
      <c r="Y1407" t="n">
        <v>776</v>
      </c>
      <c r="Z1407" t="n">
        <v>689</v>
      </c>
      <c r="AA1407" t="n">
        <v>757</v>
      </c>
      <c r="AB1407" t="n">
        <v>7</v>
      </c>
      <c r="AC1407" t="n">
        <v>8</v>
      </c>
      <c r="AD1407" t="n">
        <v>36</v>
      </c>
      <c r="AE1407" t="n">
        <v>38</v>
      </c>
      <c r="AF1407" t="n">
        <v>13</v>
      </c>
      <c r="AG1407" t="n">
        <v>14</v>
      </c>
      <c r="AH1407" t="n">
        <v>8</v>
      </c>
      <c r="AI1407" t="n">
        <v>8</v>
      </c>
      <c r="AJ1407" t="n">
        <v>14</v>
      </c>
      <c r="AK1407" t="n">
        <v>14</v>
      </c>
      <c r="AL1407" t="n">
        <v>6</v>
      </c>
      <c r="AM1407" t="n">
        <v>7</v>
      </c>
      <c r="AN1407" t="n">
        <v>4</v>
      </c>
      <c r="AO1407" t="n">
        <v>4</v>
      </c>
      <c r="AP1407" t="inlineStr">
        <is>
          <t>No</t>
        </is>
      </c>
      <c r="AQ1407" t="inlineStr">
        <is>
          <t>Yes</t>
        </is>
      </c>
      <c r="AR1407">
        <f>HYPERLINK("http://catalog.hathitrust.org/Record/000876112","HathiTrust Record")</f>
        <v/>
      </c>
      <c r="AS1407">
        <f>HYPERLINK("https://creighton-primo.hosted.exlibrisgroup.com/primo-explore/search?tab=default_tab&amp;search_scope=EVERYTHING&amp;vid=01CRU&amp;lang=en_US&amp;offset=0&amp;query=any,contains,991001036119702656","Catalog Record")</f>
        <v/>
      </c>
      <c r="AT1407">
        <f>HYPERLINK("http://www.worldcat.org/oclc/15549219","WorldCat Record")</f>
        <v/>
      </c>
      <c r="AU1407" t="inlineStr">
        <is>
          <t>836717960:eng</t>
        </is>
      </c>
      <c r="AV1407" t="inlineStr">
        <is>
          <t>15549219</t>
        </is>
      </c>
      <c r="AW1407" t="inlineStr">
        <is>
          <t>991001036119702656</t>
        </is>
      </c>
      <c r="AX1407" t="inlineStr">
        <is>
          <t>991001036119702656</t>
        </is>
      </c>
      <c r="AY1407" t="inlineStr">
        <is>
          <t>2266755640002656</t>
        </is>
      </c>
      <c r="AZ1407" t="inlineStr">
        <is>
          <t>BOOK</t>
        </is>
      </c>
      <c r="BB1407" t="inlineStr">
        <is>
          <t>9780029078815</t>
        </is>
      </c>
      <c r="BC1407" t="inlineStr">
        <is>
          <t>32285001183440</t>
        </is>
      </c>
      <c r="BD1407" t="inlineStr">
        <is>
          <t>893432543</t>
        </is>
      </c>
    </row>
    <row r="1408">
      <c r="A1408" t="inlineStr">
        <is>
          <t>No</t>
        </is>
      </c>
      <c r="B1408" t="inlineStr">
        <is>
          <t>HV9469 .H25 2001</t>
        </is>
      </c>
      <c r="C1408" t="inlineStr">
        <is>
          <t>0                      HV 9469000H  25          2001</t>
        </is>
      </c>
      <c r="D1408" t="inlineStr">
        <is>
          <t>Going up the river : travels in a prison nation / Joseph T. Hallinan.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Hallinan, Joseph T.</t>
        </is>
      </c>
      <c r="L1408" t="inlineStr">
        <is>
          <t>New York : Random House, c2001.</t>
        </is>
      </c>
      <c r="M1408" t="inlineStr">
        <is>
          <t>2001</t>
        </is>
      </c>
      <c r="N1408" t="inlineStr">
        <is>
          <t>1st ed.</t>
        </is>
      </c>
      <c r="O1408" t="inlineStr">
        <is>
          <t>eng</t>
        </is>
      </c>
      <c r="P1408" t="inlineStr">
        <is>
          <t>nyu</t>
        </is>
      </c>
      <c r="R1408" t="inlineStr">
        <is>
          <t xml:space="preserve">HV </t>
        </is>
      </c>
      <c r="S1408" t="n">
        <v>2</v>
      </c>
      <c r="T1408" t="n">
        <v>2</v>
      </c>
      <c r="U1408" t="inlineStr">
        <is>
          <t>2001-05-16</t>
        </is>
      </c>
      <c r="V1408" t="inlineStr">
        <is>
          <t>2001-05-16</t>
        </is>
      </c>
      <c r="W1408" t="inlineStr">
        <is>
          <t>2001-04-19</t>
        </is>
      </c>
      <c r="X1408" t="inlineStr">
        <is>
          <t>2001-04-19</t>
        </is>
      </c>
      <c r="Y1408" t="n">
        <v>1515</v>
      </c>
      <c r="Z1408" t="n">
        <v>1456</v>
      </c>
      <c r="AA1408" t="n">
        <v>1572</v>
      </c>
      <c r="AB1408" t="n">
        <v>8</v>
      </c>
      <c r="AC1408" t="n">
        <v>9</v>
      </c>
      <c r="AD1408" t="n">
        <v>42</v>
      </c>
      <c r="AE1408" t="n">
        <v>43</v>
      </c>
      <c r="AF1408" t="n">
        <v>16</v>
      </c>
      <c r="AG1408" t="n">
        <v>16</v>
      </c>
      <c r="AH1408" t="n">
        <v>8</v>
      </c>
      <c r="AI1408" t="n">
        <v>8</v>
      </c>
      <c r="AJ1408" t="n">
        <v>22</v>
      </c>
      <c r="AK1408" t="n">
        <v>22</v>
      </c>
      <c r="AL1408" t="n">
        <v>5</v>
      </c>
      <c r="AM1408" t="n">
        <v>6</v>
      </c>
      <c r="AN1408" t="n">
        <v>2</v>
      </c>
      <c r="AO1408" t="n">
        <v>2</v>
      </c>
      <c r="AP1408" t="inlineStr">
        <is>
          <t>No</t>
        </is>
      </c>
      <c r="AQ1408" t="inlineStr">
        <is>
          <t>No</t>
        </is>
      </c>
      <c r="AS1408">
        <f>HYPERLINK("https://creighton-primo.hosted.exlibrisgroup.com/primo-explore/search?tab=default_tab&amp;search_scope=EVERYTHING&amp;vid=01CRU&amp;lang=en_US&amp;offset=0&amp;query=any,contains,991003491459702656","Catalog Record")</f>
        <v/>
      </c>
      <c r="AT1408">
        <f>HYPERLINK("http://www.worldcat.org/oclc/44750836","WorldCat Record")</f>
        <v/>
      </c>
      <c r="AU1408" t="inlineStr">
        <is>
          <t>793903071:eng</t>
        </is>
      </c>
      <c r="AV1408" t="inlineStr">
        <is>
          <t>44750836</t>
        </is>
      </c>
      <c r="AW1408" t="inlineStr">
        <is>
          <t>991003491459702656</t>
        </is>
      </c>
      <c r="AX1408" t="inlineStr">
        <is>
          <t>991003491459702656</t>
        </is>
      </c>
      <c r="AY1408" t="inlineStr">
        <is>
          <t>2261995390002656</t>
        </is>
      </c>
      <c r="AZ1408" t="inlineStr">
        <is>
          <t>BOOK</t>
        </is>
      </c>
      <c r="BB1408" t="inlineStr">
        <is>
          <t>9780375502637</t>
        </is>
      </c>
      <c r="BC1408" t="inlineStr">
        <is>
          <t>32285004313549</t>
        </is>
      </c>
      <c r="BD1408" t="inlineStr">
        <is>
          <t>893611098</t>
        </is>
      </c>
    </row>
    <row r="1409">
      <c r="A1409" t="inlineStr">
        <is>
          <t>No</t>
        </is>
      </c>
      <c r="B1409" t="inlineStr">
        <is>
          <t>HV9469 .H83 1999</t>
        </is>
      </c>
      <c r="C1409" t="inlineStr">
        <is>
          <t>0                      HV 9469000H  83          1999</t>
        </is>
      </c>
      <c r="D1409" t="inlineStr">
        <is>
          <t>A survey of the representation of prisoners in the United States : discipline and photographs--the prison experience / James R. Hugunin.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K1409" t="inlineStr">
        <is>
          <t>Hugunin, James Richard.</t>
        </is>
      </c>
      <c r="L1409" t="inlineStr">
        <is>
          <t>Lewiston, N.Y. : Edwin Mellen Press, c1999.</t>
        </is>
      </c>
      <c r="M1409" t="inlineStr">
        <is>
          <t>1999</t>
        </is>
      </c>
      <c r="O1409" t="inlineStr">
        <is>
          <t>eng</t>
        </is>
      </c>
      <c r="P1409" t="inlineStr">
        <is>
          <t>nyu</t>
        </is>
      </c>
      <c r="Q1409" t="inlineStr">
        <is>
          <t>Studies in the photographic arts ; v. 3</t>
        </is>
      </c>
      <c r="R1409" t="inlineStr">
        <is>
          <t xml:space="preserve">HV </t>
        </is>
      </c>
      <c r="S1409" t="n">
        <v>2</v>
      </c>
      <c r="T1409" t="n">
        <v>2</v>
      </c>
      <c r="U1409" t="inlineStr">
        <is>
          <t>1999-11-08</t>
        </is>
      </c>
      <c r="V1409" t="inlineStr">
        <is>
          <t>1999-11-08</t>
        </is>
      </c>
      <c r="W1409" t="inlineStr">
        <is>
          <t>1999-11-04</t>
        </is>
      </c>
      <c r="X1409" t="inlineStr">
        <is>
          <t>1999-11-04</t>
        </is>
      </c>
      <c r="Y1409" t="n">
        <v>100</v>
      </c>
      <c r="Z1409" t="n">
        <v>85</v>
      </c>
      <c r="AA1409" t="n">
        <v>86</v>
      </c>
      <c r="AB1409" t="n">
        <v>2</v>
      </c>
      <c r="AC1409" t="n">
        <v>2</v>
      </c>
      <c r="AD1409" t="n">
        <v>1</v>
      </c>
      <c r="AE1409" t="n">
        <v>1</v>
      </c>
      <c r="AF1409" t="n">
        <v>0</v>
      </c>
      <c r="AG1409" t="n">
        <v>0</v>
      </c>
      <c r="AH1409" t="n">
        <v>0</v>
      </c>
      <c r="AI1409" t="n">
        <v>0</v>
      </c>
      <c r="AJ1409" t="n">
        <v>0</v>
      </c>
      <c r="AK1409" t="n">
        <v>0</v>
      </c>
      <c r="AL1409" t="n">
        <v>1</v>
      </c>
      <c r="AM1409" t="n">
        <v>1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No</t>
        </is>
      </c>
      <c r="AS1409">
        <f>HYPERLINK("https://creighton-primo.hosted.exlibrisgroup.com/primo-explore/search?tab=default_tab&amp;search_scope=EVERYTHING&amp;vid=01CRU&amp;lang=en_US&amp;offset=0&amp;query=any,contains,991005429819702656","Catalog Record")</f>
        <v/>
      </c>
      <c r="AT1409">
        <f>HYPERLINK("http://www.worldcat.org/oclc/40481191","WorldCat Record")</f>
        <v/>
      </c>
      <c r="AU1409" t="inlineStr">
        <is>
          <t>202132938:eng</t>
        </is>
      </c>
      <c r="AV1409" t="inlineStr">
        <is>
          <t>40481191</t>
        </is>
      </c>
      <c r="AW1409" t="inlineStr">
        <is>
          <t>991005429819702656</t>
        </is>
      </c>
      <c r="AX1409" t="inlineStr">
        <is>
          <t>991005429819702656</t>
        </is>
      </c>
      <c r="AY1409" t="inlineStr">
        <is>
          <t>2260346910002656</t>
        </is>
      </c>
      <c r="AZ1409" t="inlineStr">
        <is>
          <t>BOOK</t>
        </is>
      </c>
      <c r="BB1409" t="inlineStr">
        <is>
          <t>9780773481527</t>
        </is>
      </c>
      <c r="BC1409" t="inlineStr">
        <is>
          <t>32285003563680</t>
        </is>
      </c>
      <c r="BD1409" t="inlineStr">
        <is>
          <t>893796216</t>
        </is>
      </c>
    </row>
    <row r="1410">
      <c r="A1410" t="inlineStr">
        <is>
          <t>No</t>
        </is>
      </c>
      <c r="B1410" t="inlineStr">
        <is>
          <t>HV9469 .P76 1993</t>
        </is>
      </c>
      <c r="C1410" t="inlineStr">
        <is>
          <t>0                      HV 9469000P  76          1993</t>
        </is>
      </c>
      <c r="D1410" t="inlineStr">
        <is>
          <t>Privatizing correctional institutions / edited by Gary W. Bowman, Simon Hakim, Paul Seidenstat ; with a foreword by Warren Burger.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L1410" t="inlineStr">
        <is>
          <t>New Brunswick, N.J. : Transaction Publishers, c1993.</t>
        </is>
      </c>
      <c r="M1410" t="inlineStr">
        <is>
          <t>1993</t>
        </is>
      </c>
      <c r="O1410" t="inlineStr">
        <is>
          <t>eng</t>
        </is>
      </c>
      <c r="P1410" t="inlineStr">
        <is>
          <t>nju</t>
        </is>
      </c>
      <c r="R1410" t="inlineStr">
        <is>
          <t xml:space="preserve">HV </t>
        </is>
      </c>
      <c r="S1410" t="n">
        <v>7</v>
      </c>
      <c r="T1410" t="n">
        <v>7</v>
      </c>
      <c r="U1410" t="inlineStr">
        <is>
          <t>2003-10-24</t>
        </is>
      </c>
      <c r="V1410" t="inlineStr">
        <is>
          <t>2003-10-24</t>
        </is>
      </c>
      <c r="W1410" t="inlineStr">
        <is>
          <t>1998-12-08</t>
        </is>
      </c>
      <c r="X1410" t="inlineStr">
        <is>
          <t>1998-12-08</t>
        </is>
      </c>
      <c r="Y1410" t="n">
        <v>406</v>
      </c>
      <c r="Z1410" t="n">
        <v>354</v>
      </c>
      <c r="AA1410" t="n">
        <v>357</v>
      </c>
      <c r="AB1410" t="n">
        <v>3</v>
      </c>
      <c r="AC1410" t="n">
        <v>3</v>
      </c>
      <c r="AD1410" t="n">
        <v>14</v>
      </c>
      <c r="AE1410" t="n">
        <v>14</v>
      </c>
      <c r="AF1410" t="n">
        <v>2</v>
      </c>
      <c r="AG1410" t="n">
        <v>2</v>
      </c>
      <c r="AH1410" t="n">
        <v>4</v>
      </c>
      <c r="AI1410" t="n">
        <v>4</v>
      </c>
      <c r="AJ1410" t="n">
        <v>5</v>
      </c>
      <c r="AK1410" t="n">
        <v>5</v>
      </c>
      <c r="AL1410" t="n">
        <v>2</v>
      </c>
      <c r="AM1410" t="n">
        <v>2</v>
      </c>
      <c r="AN1410" t="n">
        <v>4</v>
      </c>
      <c r="AO1410" t="n">
        <v>4</v>
      </c>
      <c r="AP1410" t="inlineStr">
        <is>
          <t>No</t>
        </is>
      </c>
      <c r="AQ1410" t="inlineStr">
        <is>
          <t>No</t>
        </is>
      </c>
      <c r="AS1410">
        <f>HYPERLINK("https://creighton-primo.hosted.exlibrisgroup.com/primo-explore/search?tab=default_tab&amp;search_scope=EVERYTHING&amp;vid=01CRU&amp;lang=en_US&amp;offset=0&amp;query=any,contains,991001971359702656","Catalog Record")</f>
        <v/>
      </c>
      <c r="AT1410">
        <f>HYPERLINK("http://www.worldcat.org/oclc/25009283","WorldCat Record")</f>
        <v/>
      </c>
      <c r="AU1410" t="inlineStr">
        <is>
          <t>350618838:eng</t>
        </is>
      </c>
      <c r="AV1410" t="inlineStr">
        <is>
          <t>25009283</t>
        </is>
      </c>
      <c r="AW1410" t="inlineStr">
        <is>
          <t>991001971359702656</t>
        </is>
      </c>
      <c r="AX1410" t="inlineStr">
        <is>
          <t>991001971359702656</t>
        </is>
      </c>
      <c r="AY1410" t="inlineStr">
        <is>
          <t>2269438820002656</t>
        </is>
      </c>
      <c r="AZ1410" t="inlineStr">
        <is>
          <t>BOOK</t>
        </is>
      </c>
      <c r="BB1410" t="inlineStr">
        <is>
          <t>9781560000556</t>
        </is>
      </c>
      <c r="BC1410" t="inlineStr">
        <is>
          <t>32285003494613</t>
        </is>
      </c>
      <c r="BD1410" t="inlineStr">
        <is>
          <t>893334778</t>
        </is>
      </c>
    </row>
    <row r="1411">
      <c r="A1411" t="inlineStr">
        <is>
          <t>No</t>
        </is>
      </c>
      <c r="B1411" t="inlineStr">
        <is>
          <t>HV9469 .S53</t>
        </is>
      </c>
      <c r="C1411" t="inlineStr">
        <is>
          <t>0                      HV 9469000S  53</t>
        </is>
      </c>
      <c r="D1411" t="inlineStr">
        <is>
          <t>Imprisonment in America : choosing the future / Michael Sherman and Gordon Hawkins.</t>
        </is>
      </c>
      <c r="F1411" t="inlineStr">
        <is>
          <t>No</t>
        </is>
      </c>
      <c r="G1411" t="inlineStr">
        <is>
          <t>1</t>
        </is>
      </c>
      <c r="H1411" t="inlineStr">
        <is>
          <t>Yes</t>
        </is>
      </c>
      <c r="I1411" t="inlineStr">
        <is>
          <t>No</t>
        </is>
      </c>
      <c r="J1411" t="inlineStr">
        <is>
          <t>0</t>
        </is>
      </c>
      <c r="K1411" t="inlineStr">
        <is>
          <t>Sherman, Michael E.</t>
        </is>
      </c>
      <c r="L1411" t="inlineStr">
        <is>
          <t>Chicago : University of Chicago Press, 1981.</t>
        </is>
      </c>
      <c r="M1411" t="inlineStr">
        <is>
          <t>1981</t>
        </is>
      </c>
      <c r="O1411" t="inlineStr">
        <is>
          <t>eng</t>
        </is>
      </c>
      <c r="P1411" t="inlineStr">
        <is>
          <t>ilu</t>
        </is>
      </c>
      <c r="Q1411" t="inlineStr">
        <is>
          <t>Studies in crime and justice</t>
        </is>
      </c>
      <c r="R1411" t="inlineStr">
        <is>
          <t xml:space="preserve">HV </t>
        </is>
      </c>
      <c r="S1411" t="n">
        <v>11</v>
      </c>
      <c r="T1411" t="n">
        <v>11</v>
      </c>
      <c r="U1411" t="inlineStr">
        <is>
          <t>2003-10-24</t>
        </is>
      </c>
      <c r="V1411" t="inlineStr">
        <is>
          <t>2003-10-24</t>
        </is>
      </c>
      <c r="W1411" t="inlineStr">
        <is>
          <t>1991-12-13</t>
        </is>
      </c>
      <c r="X1411" t="inlineStr">
        <is>
          <t>2006-06-15</t>
        </is>
      </c>
      <c r="Y1411" t="n">
        <v>842</v>
      </c>
      <c r="Z1411" t="n">
        <v>757</v>
      </c>
      <c r="AA1411" t="n">
        <v>762</v>
      </c>
      <c r="AB1411" t="n">
        <v>6</v>
      </c>
      <c r="AC1411" t="n">
        <v>6</v>
      </c>
      <c r="AD1411" t="n">
        <v>39</v>
      </c>
      <c r="AE1411" t="n">
        <v>39</v>
      </c>
      <c r="AF1411" t="n">
        <v>10</v>
      </c>
      <c r="AG1411" t="n">
        <v>10</v>
      </c>
      <c r="AH1411" t="n">
        <v>4</v>
      </c>
      <c r="AI1411" t="n">
        <v>4</v>
      </c>
      <c r="AJ1411" t="n">
        <v>12</v>
      </c>
      <c r="AK1411" t="n">
        <v>12</v>
      </c>
      <c r="AL1411" t="n">
        <v>3</v>
      </c>
      <c r="AM1411" t="n">
        <v>3</v>
      </c>
      <c r="AN1411" t="n">
        <v>16</v>
      </c>
      <c r="AO1411" t="n">
        <v>16</v>
      </c>
      <c r="AP1411" t="inlineStr">
        <is>
          <t>No</t>
        </is>
      </c>
      <c r="AQ1411" t="inlineStr">
        <is>
          <t>No</t>
        </is>
      </c>
      <c r="AS1411">
        <f>HYPERLINK("https://creighton-primo.hosted.exlibrisgroup.com/primo-explore/search?tab=default_tab&amp;search_scope=EVERYTHING&amp;vid=01CRU&amp;lang=en_US&amp;offset=0&amp;query=any,contains,991001672199702656","Catalog Record")</f>
        <v/>
      </c>
      <c r="AT1411">
        <f>HYPERLINK("http://www.worldcat.org/oclc/7572793","WorldCat Record")</f>
        <v/>
      </c>
      <c r="AU1411" t="inlineStr">
        <is>
          <t>365471401:eng</t>
        </is>
      </c>
      <c r="AV1411" t="inlineStr">
        <is>
          <t>7572793</t>
        </is>
      </c>
      <c r="AW1411" t="inlineStr">
        <is>
          <t>991001672199702656</t>
        </is>
      </c>
      <c r="AX1411" t="inlineStr">
        <is>
          <t>991001672199702656</t>
        </is>
      </c>
      <c r="AY1411" t="inlineStr">
        <is>
          <t>2271685480002656</t>
        </is>
      </c>
      <c r="AZ1411" t="inlineStr">
        <is>
          <t>BOOK</t>
        </is>
      </c>
      <c r="BB1411" t="inlineStr">
        <is>
          <t>9780226752792</t>
        </is>
      </c>
      <c r="BC1411" t="inlineStr">
        <is>
          <t>32285000890888</t>
        </is>
      </c>
      <c r="BD1411" t="inlineStr">
        <is>
          <t>893444753</t>
        </is>
      </c>
    </row>
    <row r="1412">
      <c r="A1412" t="inlineStr">
        <is>
          <t>No</t>
        </is>
      </c>
      <c r="B1412" t="inlineStr">
        <is>
          <t>HV9469 .S58 2008</t>
        </is>
      </c>
      <c r="C1412" t="inlineStr">
        <is>
          <t>0                      HV 9469000S  58          2008</t>
        </is>
      </c>
      <c r="D1412" t="inlineStr">
        <is>
          <t>How black female offenders explain their crime and describe their hopes : a case study of inmates in a California prison / La Tanya Skiffer ; with a preface by Sharon Bethea.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K1412" t="inlineStr">
        <is>
          <t>Skiffer, La Tanya.</t>
        </is>
      </c>
      <c r="L1412" t="inlineStr">
        <is>
          <t>Lewiston, N.Y. : Edwin Mellen Press, c2008.</t>
        </is>
      </c>
      <c r="M1412" t="inlineStr">
        <is>
          <t>2008</t>
        </is>
      </c>
      <c r="O1412" t="inlineStr">
        <is>
          <t>eng</t>
        </is>
      </c>
      <c r="P1412" t="inlineStr">
        <is>
          <t>nyu</t>
        </is>
      </c>
      <c r="R1412" t="inlineStr">
        <is>
          <t xml:space="preserve">HV </t>
        </is>
      </c>
      <c r="S1412" t="n">
        <v>1</v>
      </c>
      <c r="T1412" t="n">
        <v>1</v>
      </c>
      <c r="U1412" t="inlineStr">
        <is>
          <t>2009-09-29</t>
        </is>
      </c>
      <c r="V1412" t="inlineStr">
        <is>
          <t>2009-09-29</t>
        </is>
      </c>
      <c r="W1412" t="inlineStr">
        <is>
          <t>2009-09-29</t>
        </is>
      </c>
      <c r="X1412" t="inlineStr">
        <is>
          <t>2009-09-29</t>
        </is>
      </c>
      <c r="Y1412" t="n">
        <v>104</v>
      </c>
      <c r="Z1412" t="n">
        <v>95</v>
      </c>
      <c r="AA1412" t="n">
        <v>95</v>
      </c>
      <c r="AB1412" t="n">
        <v>1</v>
      </c>
      <c r="AC1412" t="n">
        <v>1</v>
      </c>
      <c r="AD1412" t="n">
        <v>2</v>
      </c>
      <c r="AE1412" t="n">
        <v>2</v>
      </c>
      <c r="AF1412" t="n">
        <v>1</v>
      </c>
      <c r="AG1412" t="n">
        <v>1</v>
      </c>
      <c r="AH1412" t="n">
        <v>0</v>
      </c>
      <c r="AI1412" t="n">
        <v>0</v>
      </c>
      <c r="AJ1412" t="n">
        <v>2</v>
      </c>
      <c r="AK1412" t="n">
        <v>2</v>
      </c>
      <c r="AL1412" t="n">
        <v>0</v>
      </c>
      <c r="AM1412" t="n">
        <v>0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No</t>
        </is>
      </c>
      <c r="AS1412">
        <f>HYPERLINK("https://creighton-primo.hosted.exlibrisgroup.com/primo-explore/search?tab=default_tab&amp;search_scope=EVERYTHING&amp;vid=01CRU&amp;lang=en_US&amp;offset=0&amp;query=any,contains,991005334599702656","Catalog Record")</f>
        <v/>
      </c>
      <c r="AT1412">
        <f>HYPERLINK("http://www.worldcat.org/oclc/271104113","WorldCat Record")</f>
        <v/>
      </c>
      <c r="AU1412" t="inlineStr">
        <is>
          <t>157861927:eng</t>
        </is>
      </c>
      <c r="AV1412" t="inlineStr">
        <is>
          <t>271104113</t>
        </is>
      </c>
      <c r="AW1412" t="inlineStr">
        <is>
          <t>991005334599702656</t>
        </is>
      </c>
      <c r="AX1412" t="inlineStr">
        <is>
          <t>991005334599702656</t>
        </is>
      </c>
      <c r="AY1412" t="inlineStr">
        <is>
          <t>2264985720002656</t>
        </is>
      </c>
      <c r="AZ1412" t="inlineStr">
        <is>
          <t>BOOK</t>
        </is>
      </c>
      <c r="BB1412" t="inlineStr">
        <is>
          <t>9780773449169</t>
        </is>
      </c>
      <c r="BC1412" t="inlineStr">
        <is>
          <t>32285005545677</t>
        </is>
      </c>
      <c r="BD1412" t="inlineStr">
        <is>
          <t>893613527</t>
        </is>
      </c>
    </row>
    <row r="1413">
      <c r="A1413" t="inlineStr">
        <is>
          <t>No</t>
        </is>
      </c>
      <c r="B1413" t="inlineStr">
        <is>
          <t>HV9471 .A484 2005</t>
        </is>
      </c>
      <c r="C1413" t="inlineStr">
        <is>
          <t>0                      HV 9471000A  484         2005</t>
        </is>
      </c>
      <c r="D1413" t="inlineStr">
        <is>
          <t>America's disappeared : detainees, secret imprisonment, and the "War on Terror" / edited by Rachel Meeropol ; with Reed Brody ... [et al.].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L1413" t="inlineStr">
        <is>
          <t>New York : Seven Stories Press, c2005.</t>
        </is>
      </c>
      <c r="M1413" t="inlineStr">
        <is>
          <t>2005</t>
        </is>
      </c>
      <c r="N1413" t="inlineStr">
        <is>
          <t>1st ed.</t>
        </is>
      </c>
      <c r="O1413" t="inlineStr">
        <is>
          <t>eng</t>
        </is>
      </c>
      <c r="P1413" t="inlineStr">
        <is>
          <t>nyu</t>
        </is>
      </c>
      <c r="Q1413" t="inlineStr">
        <is>
          <t>An open media book</t>
        </is>
      </c>
      <c r="R1413" t="inlineStr">
        <is>
          <t xml:space="preserve">HV </t>
        </is>
      </c>
      <c r="S1413" t="n">
        <v>4</v>
      </c>
      <c r="T1413" t="n">
        <v>4</v>
      </c>
      <c r="U1413" t="inlineStr">
        <is>
          <t>2008-12-09</t>
        </is>
      </c>
      <c r="V1413" t="inlineStr">
        <is>
          <t>2008-12-09</t>
        </is>
      </c>
      <c r="W1413" t="inlineStr">
        <is>
          <t>2007-01-31</t>
        </is>
      </c>
      <c r="X1413" t="inlineStr">
        <is>
          <t>2007-01-31</t>
        </is>
      </c>
      <c r="Y1413" t="n">
        <v>288</v>
      </c>
      <c r="Z1413" t="n">
        <v>254</v>
      </c>
      <c r="AA1413" t="n">
        <v>278</v>
      </c>
      <c r="AB1413" t="n">
        <v>3</v>
      </c>
      <c r="AC1413" t="n">
        <v>3</v>
      </c>
      <c r="AD1413" t="n">
        <v>11</v>
      </c>
      <c r="AE1413" t="n">
        <v>11</v>
      </c>
      <c r="AF1413" t="n">
        <v>3</v>
      </c>
      <c r="AG1413" t="n">
        <v>3</v>
      </c>
      <c r="AH1413" t="n">
        <v>4</v>
      </c>
      <c r="AI1413" t="n">
        <v>4</v>
      </c>
      <c r="AJ1413" t="n">
        <v>5</v>
      </c>
      <c r="AK1413" t="n">
        <v>5</v>
      </c>
      <c r="AL1413" t="n">
        <v>2</v>
      </c>
      <c r="AM1413" t="n">
        <v>2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No</t>
        </is>
      </c>
      <c r="AS1413">
        <f>HYPERLINK("https://creighton-primo.hosted.exlibrisgroup.com/primo-explore/search?tab=default_tab&amp;search_scope=EVERYTHING&amp;vid=01CRU&amp;lang=en_US&amp;offset=0&amp;query=any,contains,991005018579702656","Catalog Record")</f>
        <v/>
      </c>
      <c r="AT1413">
        <f>HYPERLINK("http://www.worldcat.org/oclc/57193021","WorldCat Record")</f>
        <v/>
      </c>
      <c r="AU1413" t="inlineStr">
        <is>
          <t>2290281133:eng</t>
        </is>
      </c>
      <c r="AV1413" t="inlineStr">
        <is>
          <t>57193021</t>
        </is>
      </c>
      <c r="AW1413" t="inlineStr">
        <is>
          <t>991005018579702656</t>
        </is>
      </c>
      <c r="AX1413" t="inlineStr">
        <is>
          <t>991005018579702656</t>
        </is>
      </c>
      <c r="AY1413" t="inlineStr">
        <is>
          <t>2266010330002656</t>
        </is>
      </c>
      <c r="AZ1413" t="inlineStr">
        <is>
          <t>BOOK</t>
        </is>
      </c>
      <c r="BB1413" t="inlineStr">
        <is>
          <t>9781583226452</t>
        </is>
      </c>
      <c r="BC1413" t="inlineStr">
        <is>
          <t>32285005274039</t>
        </is>
      </c>
      <c r="BD1413" t="inlineStr">
        <is>
          <t>893810794</t>
        </is>
      </c>
    </row>
    <row r="1414">
      <c r="A1414" t="inlineStr">
        <is>
          <t>No</t>
        </is>
      </c>
      <c r="B1414" t="inlineStr">
        <is>
          <t>HV9471 .B39 1985</t>
        </is>
      </c>
      <c r="C1414" t="inlineStr">
        <is>
          <t>0                      HV 9471000B  39          1985</t>
        </is>
      </c>
      <c r="D1414" t="inlineStr">
        <is>
          <t>Mothers in prison / Phyllis Jo Baunach.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Baunach, Phyllis Jo.</t>
        </is>
      </c>
      <c r="L1414" t="inlineStr">
        <is>
          <t>New Brunswick, N.J. : Transaction Books, 1985.</t>
        </is>
      </c>
      <c r="M1414" t="inlineStr">
        <is>
          <t>1985</t>
        </is>
      </c>
      <c r="O1414" t="inlineStr">
        <is>
          <t>eng</t>
        </is>
      </c>
      <c r="P1414" t="inlineStr">
        <is>
          <t>nju</t>
        </is>
      </c>
      <c r="R1414" t="inlineStr">
        <is>
          <t xml:space="preserve">HV </t>
        </is>
      </c>
      <c r="S1414" t="n">
        <v>16</v>
      </c>
      <c r="T1414" t="n">
        <v>16</v>
      </c>
      <c r="U1414" t="inlineStr">
        <is>
          <t>2007-03-19</t>
        </is>
      </c>
      <c r="V1414" t="inlineStr">
        <is>
          <t>2007-03-19</t>
        </is>
      </c>
      <c r="W1414" t="inlineStr">
        <is>
          <t>1992-07-15</t>
        </is>
      </c>
      <c r="X1414" t="inlineStr">
        <is>
          <t>1992-07-15</t>
        </is>
      </c>
      <c r="Y1414" t="n">
        <v>592</v>
      </c>
      <c r="Z1414" t="n">
        <v>525</v>
      </c>
      <c r="AA1414" t="n">
        <v>532</v>
      </c>
      <c r="AB1414" t="n">
        <v>6</v>
      </c>
      <c r="AC1414" t="n">
        <v>6</v>
      </c>
      <c r="AD1414" t="n">
        <v>25</v>
      </c>
      <c r="AE1414" t="n">
        <v>25</v>
      </c>
      <c r="AF1414" t="n">
        <v>5</v>
      </c>
      <c r="AG1414" t="n">
        <v>5</v>
      </c>
      <c r="AH1414" t="n">
        <v>6</v>
      </c>
      <c r="AI1414" t="n">
        <v>6</v>
      </c>
      <c r="AJ1414" t="n">
        <v>11</v>
      </c>
      <c r="AK1414" t="n">
        <v>11</v>
      </c>
      <c r="AL1414" t="n">
        <v>4</v>
      </c>
      <c r="AM1414" t="n">
        <v>4</v>
      </c>
      <c r="AN1414" t="n">
        <v>5</v>
      </c>
      <c r="AO1414" t="n">
        <v>5</v>
      </c>
      <c r="AP1414" t="inlineStr">
        <is>
          <t>No</t>
        </is>
      </c>
      <c r="AQ1414" t="inlineStr">
        <is>
          <t>No</t>
        </is>
      </c>
      <c r="AS1414">
        <f>HYPERLINK("https://creighton-primo.hosted.exlibrisgroup.com/primo-explore/search?tab=default_tab&amp;search_scope=EVERYTHING&amp;vid=01CRU&amp;lang=en_US&amp;offset=0&amp;query=any,contains,991000491819702656","Catalog Record")</f>
        <v/>
      </c>
      <c r="AT1414">
        <f>HYPERLINK("http://www.worldcat.org/oclc/11113297","WorldCat Record")</f>
        <v/>
      </c>
      <c r="AU1414" t="inlineStr">
        <is>
          <t>3808467:eng</t>
        </is>
      </c>
      <c r="AV1414" t="inlineStr">
        <is>
          <t>11113297</t>
        </is>
      </c>
      <c r="AW1414" t="inlineStr">
        <is>
          <t>991000491819702656</t>
        </is>
      </c>
      <c r="AX1414" t="inlineStr">
        <is>
          <t>991000491819702656</t>
        </is>
      </c>
      <c r="AY1414" t="inlineStr">
        <is>
          <t>2258233190002656</t>
        </is>
      </c>
      <c r="AZ1414" t="inlineStr">
        <is>
          <t>BOOK</t>
        </is>
      </c>
      <c r="BB1414" t="inlineStr">
        <is>
          <t>9780887380273</t>
        </is>
      </c>
      <c r="BC1414" t="inlineStr">
        <is>
          <t>32285001183465</t>
        </is>
      </c>
      <c r="BD1414" t="inlineStr">
        <is>
          <t>893620521</t>
        </is>
      </c>
    </row>
    <row r="1415">
      <c r="A1415" t="inlineStr">
        <is>
          <t>No</t>
        </is>
      </c>
      <c r="B1415" t="inlineStr">
        <is>
          <t>HV9471 .C665 1982</t>
        </is>
      </c>
      <c r="C1415" t="inlineStr">
        <is>
          <t>0                      HV 9471000C  665         1982</t>
        </is>
      </c>
      <c r="D1415" t="inlineStr">
        <is>
          <t>Coping with imprisonment / edited by Nicolette Parisi.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L1415" t="inlineStr">
        <is>
          <t>Beverly Hills, Calif. : Sage Publications, c1982.</t>
        </is>
      </c>
      <c r="M1415" t="inlineStr">
        <is>
          <t>1982</t>
        </is>
      </c>
      <c r="O1415" t="inlineStr">
        <is>
          <t>eng</t>
        </is>
      </c>
      <c r="P1415" t="inlineStr">
        <is>
          <t>cau</t>
        </is>
      </c>
      <c r="Q1415" t="inlineStr">
        <is>
          <t>Perspectives in criminal justice ; 3</t>
        </is>
      </c>
      <c r="R1415" t="inlineStr">
        <is>
          <t xml:space="preserve">HV </t>
        </is>
      </c>
      <c r="S1415" t="n">
        <v>7</v>
      </c>
      <c r="T1415" t="n">
        <v>7</v>
      </c>
      <c r="U1415" t="inlineStr">
        <is>
          <t>2001-12-04</t>
        </is>
      </c>
      <c r="V1415" t="inlineStr">
        <is>
          <t>2001-12-04</t>
        </is>
      </c>
      <c r="W1415" t="inlineStr">
        <is>
          <t>1990-03-27</t>
        </is>
      </c>
      <c r="X1415" t="inlineStr">
        <is>
          <t>1990-03-27</t>
        </is>
      </c>
      <c r="Y1415" t="n">
        <v>355</v>
      </c>
      <c r="Z1415" t="n">
        <v>281</v>
      </c>
      <c r="AA1415" t="n">
        <v>281</v>
      </c>
      <c r="AB1415" t="n">
        <v>3</v>
      </c>
      <c r="AC1415" t="n">
        <v>3</v>
      </c>
      <c r="AD1415" t="n">
        <v>18</v>
      </c>
      <c r="AE1415" t="n">
        <v>18</v>
      </c>
      <c r="AF1415" t="n">
        <v>8</v>
      </c>
      <c r="AG1415" t="n">
        <v>8</v>
      </c>
      <c r="AH1415" t="n">
        <v>2</v>
      </c>
      <c r="AI1415" t="n">
        <v>2</v>
      </c>
      <c r="AJ1415" t="n">
        <v>9</v>
      </c>
      <c r="AK1415" t="n">
        <v>9</v>
      </c>
      <c r="AL1415" t="n">
        <v>2</v>
      </c>
      <c r="AM1415" t="n">
        <v>2</v>
      </c>
      <c r="AN1415" t="n">
        <v>3</v>
      </c>
      <c r="AO1415" t="n">
        <v>3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HYPERLINK("https://creighton-primo.hosted.exlibrisgroup.com/primo-explore/search?tab=default_tab&amp;search_scope=EVERYTHING&amp;vid=01CRU&amp;lang=en_US&amp;offset=0&amp;query=any,contains,991005190049702656","Catalog Record")</f>
        <v/>
      </c>
      <c r="AT1415">
        <f>HYPERLINK("http://www.worldcat.org/oclc/7998177","WorldCat Record")</f>
        <v/>
      </c>
      <c r="AU1415" t="inlineStr">
        <is>
          <t>353233418:eng</t>
        </is>
      </c>
      <c r="AV1415" t="inlineStr">
        <is>
          <t>7998177</t>
        </is>
      </c>
      <c r="AW1415" t="inlineStr">
        <is>
          <t>991005190049702656</t>
        </is>
      </c>
      <c r="AX1415" t="inlineStr">
        <is>
          <t>991005190049702656</t>
        </is>
      </c>
      <c r="AY1415" t="inlineStr">
        <is>
          <t>2258574110002656</t>
        </is>
      </c>
      <c r="AZ1415" t="inlineStr">
        <is>
          <t>BOOK</t>
        </is>
      </c>
      <c r="BB1415" t="inlineStr">
        <is>
          <t>9780803917859</t>
        </is>
      </c>
      <c r="BC1415" t="inlineStr">
        <is>
          <t>32285000097625</t>
        </is>
      </c>
      <c r="BD1415" t="inlineStr">
        <is>
          <t>893883476</t>
        </is>
      </c>
    </row>
    <row r="1416">
      <c r="A1416" t="inlineStr">
        <is>
          <t>No</t>
        </is>
      </c>
      <c r="B1416" t="inlineStr">
        <is>
          <t>HV9471 .C6695 1992</t>
        </is>
      </c>
      <c r="C1416" t="inlineStr">
        <is>
          <t>0                      HV 9471000C  6695        1992</t>
        </is>
      </c>
      <c r="D1416" t="inlineStr">
        <is>
          <t>Corrections : dilemmas and directions / [edited] by Peter J. Benekos, Alida V. Merlo.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L1416" t="inlineStr">
        <is>
          <t>Highland Heights, KY : Academy of Criminal Justice Sciences ; Cincinnati, OH : Anderson Pub. Co., 1992.</t>
        </is>
      </c>
      <c r="M1416" t="inlineStr">
        <is>
          <t>1992</t>
        </is>
      </c>
      <c r="O1416" t="inlineStr">
        <is>
          <t>eng</t>
        </is>
      </c>
      <c r="P1416" t="inlineStr">
        <is>
          <t>kyu</t>
        </is>
      </c>
      <c r="Q1416" t="inlineStr">
        <is>
          <t>ACJS/Anderson monograph series</t>
        </is>
      </c>
      <c r="R1416" t="inlineStr">
        <is>
          <t xml:space="preserve">HV </t>
        </is>
      </c>
      <c r="S1416" t="n">
        <v>5</v>
      </c>
      <c r="T1416" t="n">
        <v>5</v>
      </c>
      <c r="U1416" t="inlineStr">
        <is>
          <t>2003-10-24</t>
        </is>
      </c>
      <c r="V1416" t="inlineStr">
        <is>
          <t>2003-10-24</t>
        </is>
      </c>
      <c r="W1416" t="inlineStr">
        <is>
          <t>1999-01-21</t>
        </is>
      </c>
      <c r="X1416" t="inlineStr">
        <is>
          <t>1999-01-21</t>
        </is>
      </c>
      <c r="Y1416" t="n">
        <v>227</v>
      </c>
      <c r="Z1416" t="n">
        <v>205</v>
      </c>
      <c r="AA1416" t="n">
        <v>207</v>
      </c>
      <c r="AB1416" t="n">
        <v>2</v>
      </c>
      <c r="AC1416" t="n">
        <v>2</v>
      </c>
      <c r="AD1416" t="n">
        <v>7</v>
      </c>
      <c r="AE1416" t="n">
        <v>7</v>
      </c>
      <c r="AF1416" t="n">
        <v>2</v>
      </c>
      <c r="AG1416" t="n">
        <v>2</v>
      </c>
      <c r="AH1416" t="n">
        <v>1</v>
      </c>
      <c r="AI1416" t="n">
        <v>1</v>
      </c>
      <c r="AJ1416" t="n">
        <v>4</v>
      </c>
      <c r="AK1416" t="n">
        <v>4</v>
      </c>
      <c r="AL1416" t="n">
        <v>1</v>
      </c>
      <c r="AM1416" t="n">
        <v>1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HYPERLINK("http://catalog.hathitrust.org/Record/009808013","HathiTrust Record")</f>
        <v/>
      </c>
      <c r="AS1416">
        <f>HYPERLINK("https://creighton-primo.hosted.exlibrisgroup.com/primo-explore/search?tab=default_tab&amp;search_scope=EVERYTHING&amp;vid=01CRU&amp;lang=en_US&amp;offset=0&amp;query=any,contains,991002110439702656","Catalog Record")</f>
        <v/>
      </c>
      <c r="AT1416">
        <f>HYPERLINK("http://www.worldcat.org/oclc/27041396","WorldCat Record")</f>
        <v/>
      </c>
      <c r="AU1416" t="inlineStr">
        <is>
          <t>435324310:eng</t>
        </is>
      </c>
      <c r="AV1416" t="inlineStr">
        <is>
          <t>27041396</t>
        </is>
      </c>
      <c r="AW1416" t="inlineStr">
        <is>
          <t>991002110439702656</t>
        </is>
      </c>
      <c r="AX1416" t="inlineStr">
        <is>
          <t>991002110439702656</t>
        </is>
      </c>
      <c r="AY1416" t="inlineStr">
        <is>
          <t>2267735960002656</t>
        </is>
      </c>
      <c r="AZ1416" t="inlineStr">
        <is>
          <t>BOOK</t>
        </is>
      </c>
      <c r="BB1416" t="inlineStr">
        <is>
          <t>9780870842351</t>
        </is>
      </c>
      <c r="BC1416" t="inlineStr">
        <is>
          <t>32285003514659</t>
        </is>
      </c>
      <c r="BD1416" t="inlineStr">
        <is>
          <t>893504035</t>
        </is>
      </c>
    </row>
    <row r="1417">
      <c r="A1417" t="inlineStr">
        <is>
          <t>No</t>
        </is>
      </c>
      <c r="B1417" t="inlineStr">
        <is>
          <t>HV9471 .C87 1998</t>
        </is>
      </c>
      <c r="C1417" t="inlineStr">
        <is>
          <t>0                      HV 9471000C  87          1998</t>
        </is>
      </c>
      <c r="D1417" t="inlineStr">
        <is>
          <t>Crime and punishment in America / Elliott Currie.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K1417" t="inlineStr">
        <is>
          <t>Currie, Elliott.</t>
        </is>
      </c>
      <c r="L1417" t="inlineStr">
        <is>
          <t>New York : Metropolitan Books, 1998.</t>
        </is>
      </c>
      <c r="M1417" t="inlineStr">
        <is>
          <t>1998</t>
        </is>
      </c>
      <c r="N1417" t="inlineStr">
        <is>
          <t>1st ed.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HV </t>
        </is>
      </c>
      <c r="S1417" t="n">
        <v>6</v>
      </c>
      <c r="T1417" t="n">
        <v>6</v>
      </c>
      <c r="U1417" t="inlineStr">
        <is>
          <t>2003-10-24</t>
        </is>
      </c>
      <c r="V1417" t="inlineStr">
        <is>
          <t>2003-10-24</t>
        </is>
      </c>
      <c r="W1417" t="inlineStr">
        <is>
          <t>1998-04-06</t>
        </is>
      </c>
      <c r="X1417" t="inlineStr">
        <is>
          <t>1998-04-06</t>
        </is>
      </c>
      <c r="Y1417" t="n">
        <v>1180</v>
      </c>
      <c r="Z1417" t="n">
        <v>1127</v>
      </c>
      <c r="AA1417" t="n">
        <v>1369</v>
      </c>
      <c r="AB1417" t="n">
        <v>6</v>
      </c>
      <c r="AC1417" t="n">
        <v>8</v>
      </c>
      <c r="AD1417" t="n">
        <v>35</v>
      </c>
      <c r="AE1417" t="n">
        <v>48</v>
      </c>
      <c r="AF1417" t="n">
        <v>10</v>
      </c>
      <c r="AG1417" t="n">
        <v>14</v>
      </c>
      <c r="AH1417" t="n">
        <v>8</v>
      </c>
      <c r="AI1417" t="n">
        <v>8</v>
      </c>
      <c r="AJ1417" t="n">
        <v>11</v>
      </c>
      <c r="AK1417" t="n">
        <v>16</v>
      </c>
      <c r="AL1417" t="n">
        <v>5</v>
      </c>
      <c r="AM1417" t="n">
        <v>7</v>
      </c>
      <c r="AN1417" t="n">
        <v>8</v>
      </c>
      <c r="AO1417" t="n">
        <v>11</v>
      </c>
      <c r="AP1417" t="inlineStr">
        <is>
          <t>No</t>
        </is>
      </c>
      <c r="AQ1417" t="inlineStr">
        <is>
          <t>No</t>
        </is>
      </c>
      <c r="AS1417">
        <f>HYPERLINK("https://creighton-primo.hosted.exlibrisgroup.com/primo-explore/search?tab=default_tab&amp;search_scope=EVERYTHING&amp;vid=01CRU&amp;lang=en_US&amp;offset=0&amp;query=any,contains,991002836679702656","Catalog Record")</f>
        <v/>
      </c>
      <c r="AT1417">
        <f>HYPERLINK("http://www.worldcat.org/oclc/37361750","WorldCat Record")</f>
        <v/>
      </c>
      <c r="AU1417" t="inlineStr">
        <is>
          <t>20601686:eng</t>
        </is>
      </c>
      <c r="AV1417" t="inlineStr">
        <is>
          <t>37361750</t>
        </is>
      </c>
      <c r="AW1417" t="inlineStr">
        <is>
          <t>991002836679702656</t>
        </is>
      </c>
      <c r="AX1417" t="inlineStr">
        <is>
          <t>991002836679702656</t>
        </is>
      </c>
      <c r="AY1417" t="inlineStr">
        <is>
          <t>2268112700002656</t>
        </is>
      </c>
      <c r="AZ1417" t="inlineStr">
        <is>
          <t>BOOK</t>
        </is>
      </c>
      <c r="BB1417" t="inlineStr">
        <is>
          <t>9780805048353</t>
        </is>
      </c>
      <c r="BC1417" t="inlineStr">
        <is>
          <t>32285003383386</t>
        </is>
      </c>
      <c r="BD1417" t="inlineStr">
        <is>
          <t>893341912</t>
        </is>
      </c>
    </row>
    <row r="1418">
      <c r="A1418" t="inlineStr">
        <is>
          <t>No</t>
        </is>
      </c>
      <c r="B1418" t="inlineStr">
        <is>
          <t>HV9471 .G56</t>
        </is>
      </c>
      <c r="C1418" t="inlineStr">
        <is>
          <t>0                      HV 9471000G  56</t>
        </is>
      </c>
      <c r="D1418" t="inlineStr">
        <is>
          <t>The effectiveness of a prison and parole system.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Glaser, Daniel.</t>
        </is>
      </c>
      <c r="L1418" t="inlineStr">
        <is>
          <t>Indianapolis : Bobbs-Merrill, [1964]</t>
        </is>
      </c>
      <c r="M1418" t="inlineStr">
        <is>
          <t>1964</t>
        </is>
      </c>
      <c r="O1418" t="inlineStr">
        <is>
          <t>eng</t>
        </is>
      </c>
      <c r="P1418" t="inlineStr">
        <is>
          <t>inu</t>
        </is>
      </c>
      <c r="R1418" t="inlineStr">
        <is>
          <t xml:space="preserve">HV </t>
        </is>
      </c>
      <c r="S1418" t="n">
        <v>10</v>
      </c>
      <c r="T1418" t="n">
        <v>10</v>
      </c>
      <c r="U1418" t="inlineStr">
        <is>
          <t>1999-04-17</t>
        </is>
      </c>
      <c r="V1418" t="inlineStr">
        <is>
          <t>1999-04-17</t>
        </is>
      </c>
      <c r="W1418" t="inlineStr">
        <is>
          <t>1990-09-05</t>
        </is>
      </c>
      <c r="X1418" t="inlineStr">
        <is>
          <t>1990-09-05</t>
        </is>
      </c>
      <c r="Y1418" t="n">
        <v>722</v>
      </c>
      <c r="Z1418" t="n">
        <v>628</v>
      </c>
      <c r="AA1418" t="n">
        <v>862</v>
      </c>
      <c r="AB1418" t="n">
        <v>8</v>
      </c>
      <c r="AC1418" t="n">
        <v>10</v>
      </c>
      <c r="AD1418" t="n">
        <v>35</v>
      </c>
      <c r="AE1418" t="n">
        <v>39</v>
      </c>
      <c r="AF1418" t="n">
        <v>11</v>
      </c>
      <c r="AG1418" t="n">
        <v>11</v>
      </c>
      <c r="AH1418" t="n">
        <v>4</v>
      </c>
      <c r="AI1418" t="n">
        <v>5</v>
      </c>
      <c r="AJ1418" t="n">
        <v>12</v>
      </c>
      <c r="AK1418" t="n">
        <v>14</v>
      </c>
      <c r="AL1418" t="n">
        <v>6</v>
      </c>
      <c r="AM1418" t="n">
        <v>8</v>
      </c>
      <c r="AN1418" t="n">
        <v>9</v>
      </c>
      <c r="AO1418" t="n">
        <v>9</v>
      </c>
      <c r="AP1418" t="inlineStr">
        <is>
          <t>No</t>
        </is>
      </c>
      <c r="AQ1418" t="inlineStr">
        <is>
          <t>Yes</t>
        </is>
      </c>
      <c r="AR1418">
        <f>HYPERLINK("http://catalog.hathitrust.org/Record/001136065","HathiTrust Record")</f>
        <v/>
      </c>
      <c r="AS1418">
        <f>HYPERLINK("https://creighton-primo.hosted.exlibrisgroup.com/primo-explore/search?tab=default_tab&amp;search_scope=EVERYTHING&amp;vid=01CRU&amp;lang=en_US&amp;offset=0&amp;query=any,contains,991002088519702656","Catalog Record")</f>
        <v/>
      </c>
      <c r="AT1418">
        <f>HYPERLINK("http://www.worldcat.org/oclc/265305","WorldCat Record")</f>
        <v/>
      </c>
      <c r="AU1418" t="inlineStr">
        <is>
          <t>1194192:eng</t>
        </is>
      </c>
      <c r="AV1418" t="inlineStr">
        <is>
          <t>265305</t>
        </is>
      </c>
      <c r="AW1418" t="inlineStr">
        <is>
          <t>991002088519702656</t>
        </is>
      </c>
      <c r="AX1418" t="inlineStr">
        <is>
          <t>991002088519702656</t>
        </is>
      </c>
      <c r="AY1418" t="inlineStr">
        <is>
          <t>2267583040002656</t>
        </is>
      </c>
      <c r="AZ1418" t="inlineStr">
        <is>
          <t>BOOK</t>
        </is>
      </c>
      <c r="BC1418" t="inlineStr">
        <is>
          <t>32285000300607</t>
        </is>
      </c>
      <c r="BD1418" t="inlineStr">
        <is>
          <t>893414804</t>
        </is>
      </c>
    </row>
    <row r="1419">
      <c r="A1419" t="inlineStr">
        <is>
          <t>No</t>
        </is>
      </c>
      <c r="B1419" t="inlineStr">
        <is>
          <t>HV9471 .M4</t>
        </is>
      </c>
      <c r="C1419" t="inlineStr">
        <is>
          <t>0                      HV 9471000M  4</t>
        </is>
      </c>
      <c r="D1419" t="inlineStr">
        <is>
          <t>Prisons and politics / Richard A. McGee.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McGee, Richard A.</t>
        </is>
      </c>
      <c r="L1419" t="inlineStr">
        <is>
          <t>Lexington, Mass. : Lexington Books, c1981.</t>
        </is>
      </c>
      <c r="M1419" t="inlineStr">
        <is>
          <t>1981</t>
        </is>
      </c>
      <c r="O1419" t="inlineStr">
        <is>
          <t>eng</t>
        </is>
      </c>
      <c r="P1419" t="inlineStr">
        <is>
          <t>mau</t>
        </is>
      </c>
      <c r="R1419" t="inlineStr">
        <is>
          <t xml:space="preserve">HV </t>
        </is>
      </c>
      <c r="S1419" t="n">
        <v>1</v>
      </c>
      <c r="T1419" t="n">
        <v>1</v>
      </c>
      <c r="U1419" t="inlineStr">
        <is>
          <t>2003-09-09</t>
        </is>
      </c>
      <c r="V1419" t="inlineStr">
        <is>
          <t>2003-09-09</t>
        </is>
      </c>
      <c r="W1419" t="inlineStr">
        <is>
          <t>1992-07-15</t>
        </is>
      </c>
      <c r="X1419" t="inlineStr">
        <is>
          <t>1992-07-15</t>
        </is>
      </c>
      <c r="Y1419" t="n">
        <v>380</v>
      </c>
      <c r="Z1419" t="n">
        <v>319</v>
      </c>
      <c r="AA1419" t="n">
        <v>326</v>
      </c>
      <c r="AB1419" t="n">
        <v>3</v>
      </c>
      <c r="AC1419" t="n">
        <v>3</v>
      </c>
      <c r="AD1419" t="n">
        <v>14</v>
      </c>
      <c r="AE1419" t="n">
        <v>14</v>
      </c>
      <c r="AF1419" t="n">
        <v>2</v>
      </c>
      <c r="AG1419" t="n">
        <v>2</v>
      </c>
      <c r="AH1419" t="n">
        <v>3</v>
      </c>
      <c r="AI1419" t="n">
        <v>3</v>
      </c>
      <c r="AJ1419" t="n">
        <v>6</v>
      </c>
      <c r="AK1419" t="n">
        <v>6</v>
      </c>
      <c r="AL1419" t="n">
        <v>2</v>
      </c>
      <c r="AM1419" t="n">
        <v>2</v>
      </c>
      <c r="AN1419" t="n">
        <v>3</v>
      </c>
      <c r="AO1419" t="n">
        <v>3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HYPERLINK("http://catalog.hathitrust.org/Record/000139104","HathiTrust Record")</f>
        <v/>
      </c>
      <c r="AS1419">
        <f>HYPERLINK("https://creighton-primo.hosted.exlibrisgroup.com/primo-explore/search?tab=default_tab&amp;search_scope=EVERYTHING&amp;vid=01CRU&amp;lang=en_US&amp;offset=0&amp;query=any,contains,991005105819702656","Catalog Record")</f>
        <v/>
      </c>
      <c r="AT1419">
        <f>HYPERLINK("http://www.worldcat.org/oclc/7329524","WorldCat Record")</f>
        <v/>
      </c>
      <c r="AU1419" t="inlineStr">
        <is>
          <t>42843533:eng</t>
        </is>
      </c>
      <c r="AV1419" t="inlineStr">
        <is>
          <t>7329524</t>
        </is>
      </c>
      <c r="AW1419" t="inlineStr">
        <is>
          <t>991005105819702656</t>
        </is>
      </c>
      <c r="AX1419" t="inlineStr">
        <is>
          <t>991005105819702656</t>
        </is>
      </c>
      <c r="AY1419" t="inlineStr">
        <is>
          <t>2271599150002656</t>
        </is>
      </c>
      <c r="AZ1419" t="inlineStr">
        <is>
          <t>BOOK</t>
        </is>
      </c>
      <c r="BB1419" t="inlineStr">
        <is>
          <t>9780669045277</t>
        </is>
      </c>
      <c r="BC1419" t="inlineStr">
        <is>
          <t>32285001183507</t>
        </is>
      </c>
      <c r="BD1419" t="inlineStr">
        <is>
          <t>893236284</t>
        </is>
      </c>
    </row>
    <row r="1420">
      <c r="A1420" t="inlineStr">
        <is>
          <t>No</t>
        </is>
      </c>
      <c r="B1420" t="inlineStr">
        <is>
          <t>HV9471 .O8</t>
        </is>
      </c>
      <c r="C1420" t="inlineStr">
        <is>
          <t>0                      HV 9471000O  8</t>
        </is>
      </c>
      <c r="D1420" t="inlineStr">
        <is>
          <t>Society and prisons : some suggestions for a new penology / by Thomas Mott Osborne.</t>
        </is>
      </c>
      <c r="F1420" t="inlineStr">
        <is>
          <t>No</t>
        </is>
      </c>
      <c r="G1420" t="inlineStr">
        <is>
          <t>1</t>
        </is>
      </c>
      <c r="H1420" t="inlineStr">
        <is>
          <t>Yes</t>
        </is>
      </c>
      <c r="I1420" t="inlineStr">
        <is>
          <t>No</t>
        </is>
      </c>
      <c r="J1420" t="inlineStr">
        <is>
          <t>0</t>
        </is>
      </c>
      <c r="K1420" t="inlineStr">
        <is>
          <t>Osborne, Thomas Mott, 1859-1926.</t>
        </is>
      </c>
      <c r="L1420" t="inlineStr">
        <is>
          <t>New Haven : Yale university press, 1916.</t>
        </is>
      </c>
      <c r="M1420" t="inlineStr">
        <is>
          <t>1916</t>
        </is>
      </c>
      <c r="O1420" t="inlineStr">
        <is>
          <t>eng</t>
        </is>
      </c>
      <c r="P1420" t="inlineStr">
        <is>
          <t>ctu</t>
        </is>
      </c>
      <c r="Q1420" t="inlineStr">
        <is>
          <t>Yale lectures on the responsibilities of citizenship</t>
        </is>
      </c>
      <c r="R1420" t="inlineStr">
        <is>
          <t xml:space="preserve">HV </t>
        </is>
      </c>
      <c r="S1420" t="n">
        <v>4</v>
      </c>
      <c r="T1420" t="n">
        <v>4</v>
      </c>
      <c r="U1420" t="inlineStr">
        <is>
          <t>1998-03-18</t>
        </is>
      </c>
      <c r="V1420" t="inlineStr">
        <is>
          <t>1998-03-18</t>
        </is>
      </c>
      <c r="W1420" t="inlineStr">
        <is>
          <t>1992-03-13</t>
        </is>
      </c>
      <c r="X1420" t="inlineStr">
        <is>
          <t>1993-01-15</t>
        </is>
      </c>
      <c r="Y1420" t="n">
        <v>312</v>
      </c>
      <c r="Z1420" t="n">
        <v>280</v>
      </c>
      <c r="AA1420" t="n">
        <v>611</v>
      </c>
      <c r="AB1420" t="n">
        <v>5</v>
      </c>
      <c r="AC1420" t="n">
        <v>8</v>
      </c>
      <c r="AD1420" t="n">
        <v>12</v>
      </c>
      <c r="AE1420" t="n">
        <v>39</v>
      </c>
      <c r="AF1420" t="n">
        <v>4</v>
      </c>
      <c r="AG1420" t="n">
        <v>8</v>
      </c>
      <c r="AH1420" t="n">
        <v>0</v>
      </c>
      <c r="AI1420" t="n">
        <v>3</v>
      </c>
      <c r="AJ1420" t="n">
        <v>6</v>
      </c>
      <c r="AK1420" t="n">
        <v>10</v>
      </c>
      <c r="AL1420" t="n">
        <v>3</v>
      </c>
      <c r="AM1420" t="n">
        <v>5</v>
      </c>
      <c r="AN1420" t="n">
        <v>2</v>
      </c>
      <c r="AO1420" t="n">
        <v>18</v>
      </c>
      <c r="AP1420" t="inlineStr">
        <is>
          <t>Yes</t>
        </is>
      </c>
      <c r="AQ1420" t="inlineStr">
        <is>
          <t>No</t>
        </is>
      </c>
      <c r="AR1420">
        <f>HYPERLINK("http://catalog.hathitrust.org/Record/001136082","HathiTrust Record")</f>
        <v/>
      </c>
      <c r="AS1420">
        <f>HYPERLINK("https://creighton-primo.hosted.exlibrisgroup.com/primo-explore/search?tab=default_tab&amp;search_scope=EVERYTHING&amp;vid=01CRU&amp;lang=en_US&amp;offset=0&amp;query=any,contains,991001690779702656","Catalog Record")</f>
        <v/>
      </c>
      <c r="AT1420">
        <f>HYPERLINK("http://www.worldcat.org/oclc/1041492","WorldCat Record")</f>
        <v/>
      </c>
      <c r="AU1420" t="inlineStr">
        <is>
          <t>4926544702:eng</t>
        </is>
      </c>
      <c r="AV1420" t="inlineStr">
        <is>
          <t>1041492</t>
        </is>
      </c>
      <c r="AW1420" t="inlineStr">
        <is>
          <t>991001690779702656</t>
        </is>
      </c>
      <c r="AX1420" t="inlineStr">
        <is>
          <t>991001690779702656</t>
        </is>
      </c>
      <c r="AY1420" t="inlineStr">
        <is>
          <t>2268971250002656</t>
        </is>
      </c>
      <c r="AZ1420" t="inlineStr">
        <is>
          <t>BOOK</t>
        </is>
      </c>
      <c r="BC1420" t="inlineStr">
        <is>
          <t>32285000999721</t>
        </is>
      </c>
      <c r="BD1420" t="inlineStr">
        <is>
          <t>893885478</t>
        </is>
      </c>
    </row>
    <row r="1421">
      <c r="A1421" t="inlineStr">
        <is>
          <t>No</t>
        </is>
      </c>
      <c r="B1421" t="inlineStr">
        <is>
          <t>HV9471 .P77</t>
        </is>
      </c>
      <c r="C1421" t="inlineStr">
        <is>
          <t>0                      HV 9471000P  77</t>
        </is>
      </c>
      <c r="D1421" t="inlineStr">
        <is>
          <t>Prisoners in America. [Lloyd E. Ohlin, editor]</t>
        </is>
      </c>
      <c r="F1421" t="inlineStr">
        <is>
          <t>No</t>
        </is>
      </c>
      <c r="G1421" t="inlineStr">
        <is>
          <t>1</t>
        </is>
      </c>
      <c r="H1421" t="inlineStr">
        <is>
          <t>Yes</t>
        </is>
      </c>
      <c r="I1421" t="inlineStr">
        <is>
          <t>No</t>
        </is>
      </c>
      <c r="J1421" t="inlineStr">
        <is>
          <t>0</t>
        </is>
      </c>
      <c r="L1421" t="inlineStr">
        <is>
          <t>Englewood Cliffs, N.J., Prentice-Hall [1973]</t>
        </is>
      </c>
      <c r="M1421" t="inlineStr">
        <is>
          <t>1973</t>
        </is>
      </c>
      <c r="O1421" t="inlineStr">
        <is>
          <t>eng</t>
        </is>
      </c>
      <c r="P1421" t="inlineStr">
        <is>
          <t>nju</t>
        </is>
      </c>
      <c r="Q1421" t="inlineStr">
        <is>
          <t>A Spectrum book</t>
        </is>
      </c>
      <c r="R1421" t="inlineStr">
        <is>
          <t xml:space="preserve">HV </t>
        </is>
      </c>
      <c r="S1421" t="n">
        <v>7</v>
      </c>
      <c r="T1421" t="n">
        <v>7</v>
      </c>
      <c r="U1421" t="inlineStr">
        <is>
          <t>1998-03-18</t>
        </is>
      </c>
      <c r="V1421" t="inlineStr">
        <is>
          <t>1998-03-18</t>
        </is>
      </c>
      <c r="W1421" t="inlineStr">
        <is>
          <t>1992-04-28</t>
        </is>
      </c>
      <c r="X1421" t="inlineStr">
        <is>
          <t>1992-07-23</t>
        </is>
      </c>
      <c r="Y1421" t="n">
        <v>965</v>
      </c>
      <c r="Z1421" t="n">
        <v>878</v>
      </c>
      <c r="AA1421" t="n">
        <v>899</v>
      </c>
      <c r="AB1421" t="n">
        <v>10</v>
      </c>
      <c r="AC1421" t="n">
        <v>10</v>
      </c>
      <c r="AD1421" t="n">
        <v>48</v>
      </c>
      <c r="AE1421" t="n">
        <v>49</v>
      </c>
      <c r="AF1421" t="n">
        <v>12</v>
      </c>
      <c r="AG1421" t="n">
        <v>13</v>
      </c>
      <c r="AH1421" t="n">
        <v>5</v>
      </c>
      <c r="AI1421" t="n">
        <v>5</v>
      </c>
      <c r="AJ1421" t="n">
        <v>18</v>
      </c>
      <c r="AK1421" t="n">
        <v>18</v>
      </c>
      <c r="AL1421" t="n">
        <v>6</v>
      </c>
      <c r="AM1421" t="n">
        <v>6</v>
      </c>
      <c r="AN1421" t="n">
        <v>15</v>
      </c>
      <c r="AO1421" t="n">
        <v>15</v>
      </c>
      <c r="AP1421" t="inlineStr">
        <is>
          <t>No</t>
        </is>
      </c>
      <c r="AQ1421" t="inlineStr">
        <is>
          <t>Yes</t>
        </is>
      </c>
      <c r="AR1421">
        <f>HYPERLINK("http://catalog.hathitrust.org/Record/001136085","HathiTrust Record")</f>
        <v/>
      </c>
      <c r="AS1421">
        <f>HYPERLINK("https://creighton-primo.hosted.exlibrisgroup.com/primo-explore/search?tab=default_tab&amp;search_scope=EVERYTHING&amp;vid=01CRU&amp;lang=en_US&amp;offset=0&amp;query=any,contains,991001657089702656","Catalog Record")</f>
        <v/>
      </c>
      <c r="AT1421">
        <f>HYPERLINK("http://www.worldcat.org/oclc/578774","WorldCat Record")</f>
        <v/>
      </c>
      <c r="AU1421" t="inlineStr">
        <is>
          <t>510182218:eng</t>
        </is>
      </c>
      <c r="AV1421" t="inlineStr">
        <is>
          <t>578774</t>
        </is>
      </c>
      <c r="AW1421" t="inlineStr">
        <is>
          <t>991001657089702656</t>
        </is>
      </c>
      <c r="AX1421" t="inlineStr">
        <is>
          <t>991001657089702656</t>
        </is>
      </c>
      <c r="AY1421" t="inlineStr">
        <is>
          <t>2258729950002656</t>
        </is>
      </c>
      <c r="AZ1421" t="inlineStr">
        <is>
          <t>BOOK</t>
        </is>
      </c>
      <c r="BB1421" t="inlineStr">
        <is>
          <t>9780137108220</t>
        </is>
      </c>
      <c r="BC1421" t="inlineStr">
        <is>
          <t>32285001095594</t>
        </is>
      </c>
      <c r="BD1421" t="inlineStr">
        <is>
          <t>893715597</t>
        </is>
      </c>
    </row>
    <row r="1422">
      <c r="A1422" t="inlineStr">
        <is>
          <t>No</t>
        </is>
      </c>
      <c r="B1422" t="inlineStr">
        <is>
          <t>HV9471 .R36 1999</t>
        </is>
      </c>
      <c r="C1422" t="inlineStr">
        <is>
          <t>0                      HV 9471000R  36          1999</t>
        </is>
      </c>
      <c r="D1422" t="inlineStr">
        <is>
          <t>Prisons in America : a reference handbook / Nicole Hahn Rafter and Debra L. Stanley.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K1422" t="inlineStr">
        <is>
          <t>Rafter, Nicole Hahn, 1939-</t>
        </is>
      </c>
      <c r="L1422" t="inlineStr">
        <is>
          <t>Santa Barbara, Calif. : ABC-CLIO, c1999.</t>
        </is>
      </c>
      <c r="M1422" t="inlineStr">
        <is>
          <t>1999</t>
        </is>
      </c>
      <c r="O1422" t="inlineStr">
        <is>
          <t>eng</t>
        </is>
      </c>
      <c r="P1422" t="inlineStr">
        <is>
          <t>cau</t>
        </is>
      </c>
      <c r="Q1422" t="inlineStr">
        <is>
          <t>Contemporary world issues</t>
        </is>
      </c>
      <c r="R1422" t="inlineStr">
        <is>
          <t xml:space="preserve">HV </t>
        </is>
      </c>
      <c r="S1422" t="n">
        <v>2</v>
      </c>
      <c r="T1422" t="n">
        <v>2</v>
      </c>
      <c r="U1422" t="inlineStr">
        <is>
          <t>2008-04-15</t>
        </is>
      </c>
      <c r="V1422" t="inlineStr">
        <is>
          <t>2008-04-15</t>
        </is>
      </c>
      <c r="W1422" t="inlineStr">
        <is>
          <t>1999-12-09</t>
        </is>
      </c>
      <c r="X1422" t="inlineStr">
        <is>
          <t>1999-12-09</t>
        </is>
      </c>
      <c r="Y1422" t="n">
        <v>843</v>
      </c>
      <c r="Z1422" t="n">
        <v>816</v>
      </c>
      <c r="AA1422" t="n">
        <v>1524</v>
      </c>
      <c r="AB1422" t="n">
        <v>6</v>
      </c>
      <c r="AC1422" t="n">
        <v>10</v>
      </c>
      <c r="AD1422" t="n">
        <v>22</v>
      </c>
      <c r="AE1422" t="n">
        <v>35</v>
      </c>
      <c r="AF1422" t="n">
        <v>8</v>
      </c>
      <c r="AG1422" t="n">
        <v>14</v>
      </c>
      <c r="AH1422" t="n">
        <v>3</v>
      </c>
      <c r="AI1422" t="n">
        <v>5</v>
      </c>
      <c r="AJ1422" t="n">
        <v>12</v>
      </c>
      <c r="AK1422" t="n">
        <v>17</v>
      </c>
      <c r="AL1422" t="n">
        <v>3</v>
      </c>
      <c r="AM1422" t="n">
        <v>6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No</t>
        </is>
      </c>
      <c r="AS1422">
        <f>HYPERLINK("https://creighton-primo.hosted.exlibrisgroup.com/primo-explore/search?tab=default_tab&amp;search_scope=EVERYTHING&amp;vid=01CRU&amp;lang=en_US&amp;offset=0&amp;query=any,contains,991003022179702656","Catalog Record")</f>
        <v/>
      </c>
      <c r="AT1422">
        <f>HYPERLINK("http://www.worldcat.org/oclc/41528182","WorldCat Record")</f>
        <v/>
      </c>
      <c r="AU1422" t="inlineStr">
        <is>
          <t>1054218:eng</t>
        </is>
      </c>
      <c r="AV1422" t="inlineStr">
        <is>
          <t>41528182</t>
        </is>
      </c>
      <c r="AW1422" t="inlineStr">
        <is>
          <t>991003022179702656</t>
        </is>
      </c>
      <c r="AX1422" t="inlineStr">
        <is>
          <t>991003022179702656</t>
        </is>
      </c>
      <c r="AY1422" t="inlineStr">
        <is>
          <t>2259900640002656</t>
        </is>
      </c>
      <c r="AZ1422" t="inlineStr">
        <is>
          <t>BOOK</t>
        </is>
      </c>
      <c r="BB1422" t="inlineStr">
        <is>
          <t>9781576071021</t>
        </is>
      </c>
      <c r="BC1422" t="inlineStr">
        <is>
          <t>32285003630752</t>
        </is>
      </c>
      <c r="BD1422" t="inlineStr">
        <is>
          <t>893717234</t>
        </is>
      </c>
    </row>
    <row r="1423">
      <c r="A1423" t="inlineStr">
        <is>
          <t>No</t>
        </is>
      </c>
      <c r="B1423" t="inlineStr">
        <is>
          <t>HV9471 .T47 1987</t>
        </is>
      </c>
      <c r="C1423" t="inlineStr">
        <is>
          <t>0                      HV 9471000T  47          1987</t>
        </is>
      </c>
      <c r="D1423" t="inlineStr">
        <is>
          <t>Corrections in America : problems of the past and the present / Charles W. Thomas.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Thomas, Charles Wellington, 1943-</t>
        </is>
      </c>
      <c r="L1423" t="inlineStr">
        <is>
          <t>Newbury Park, Calif. : Sage Publications, c1987.</t>
        </is>
      </c>
      <c r="M1423" t="inlineStr">
        <is>
          <t>1987</t>
        </is>
      </c>
      <c r="O1423" t="inlineStr">
        <is>
          <t>eng</t>
        </is>
      </c>
      <c r="P1423" t="inlineStr">
        <is>
          <t>cau</t>
        </is>
      </c>
      <c r="Q1423" t="inlineStr">
        <is>
          <t>Law and criminal justice series ; v. 7</t>
        </is>
      </c>
      <c r="R1423" t="inlineStr">
        <is>
          <t xml:space="preserve">HV </t>
        </is>
      </c>
      <c r="S1423" t="n">
        <v>18</v>
      </c>
      <c r="T1423" t="n">
        <v>18</v>
      </c>
      <c r="U1423" t="inlineStr">
        <is>
          <t>2008-04-15</t>
        </is>
      </c>
      <c r="V1423" t="inlineStr">
        <is>
          <t>2008-04-15</t>
        </is>
      </c>
      <c r="W1423" t="inlineStr">
        <is>
          <t>1990-03-12</t>
        </is>
      </c>
      <c r="X1423" t="inlineStr">
        <is>
          <t>1990-03-12</t>
        </is>
      </c>
      <c r="Y1423" t="n">
        <v>312</v>
      </c>
      <c r="Z1423" t="n">
        <v>264</v>
      </c>
      <c r="AA1423" t="n">
        <v>264</v>
      </c>
      <c r="AB1423" t="n">
        <v>4</v>
      </c>
      <c r="AC1423" t="n">
        <v>4</v>
      </c>
      <c r="AD1423" t="n">
        <v>19</v>
      </c>
      <c r="AE1423" t="n">
        <v>19</v>
      </c>
      <c r="AF1423" t="n">
        <v>6</v>
      </c>
      <c r="AG1423" t="n">
        <v>6</v>
      </c>
      <c r="AH1423" t="n">
        <v>4</v>
      </c>
      <c r="AI1423" t="n">
        <v>4</v>
      </c>
      <c r="AJ1423" t="n">
        <v>8</v>
      </c>
      <c r="AK1423" t="n">
        <v>8</v>
      </c>
      <c r="AL1423" t="n">
        <v>3</v>
      </c>
      <c r="AM1423" t="n">
        <v>3</v>
      </c>
      <c r="AN1423" t="n">
        <v>3</v>
      </c>
      <c r="AO1423" t="n">
        <v>3</v>
      </c>
      <c r="AP1423" t="inlineStr">
        <is>
          <t>No</t>
        </is>
      </c>
      <c r="AQ1423" t="inlineStr">
        <is>
          <t>No</t>
        </is>
      </c>
      <c r="AS1423">
        <f>HYPERLINK("https://creighton-primo.hosted.exlibrisgroup.com/primo-explore/search?tab=default_tab&amp;search_scope=EVERYTHING&amp;vid=01CRU&amp;lang=en_US&amp;offset=0&amp;query=any,contains,991000989289702656","Catalog Record")</f>
        <v/>
      </c>
      <c r="AT1423">
        <f>HYPERLINK("http://www.worldcat.org/oclc/15090748","WorldCat Record")</f>
        <v/>
      </c>
      <c r="AU1423" t="inlineStr">
        <is>
          <t>9273532:eng</t>
        </is>
      </c>
      <c r="AV1423" t="inlineStr">
        <is>
          <t>15090748</t>
        </is>
      </c>
      <c r="AW1423" t="inlineStr">
        <is>
          <t>991000989289702656</t>
        </is>
      </c>
      <c r="AX1423" t="inlineStr">
        <is>
          <t>991000989289702656</t>
        </is>
      </c>
      <c r="AY1423" t="inlineStr">
        <is>
          <t>2260028690002656</t>
        </is>
      </c>
      <c r="AZ1423" t="inlineStr">
        <is>
          <t>BOOK</t>
        </is>
      </c>
      <c r="BB1423" t="inlineStr">
        <is>
          <t>9780803922112</t>
        </is>
      </c>
      <c r="BC1423" t="inlineStr">
        <is>
          <t>32285000065671</t>
        </is>
      </c>
      <c r="BD1423" t="inlineStr">
        <is>
          <t>893503003</t>
        </is>
      </c>
    </row>
    <row r="1424">
      <c r="A1424" t="inlineStr">
        <is>
          <t>No</t>
        </is>
      </c>
      <c r="B1424" t="inlineStr">
        <is>
          <t>HV9475.C2 W55 2005</t>
        </is>
      </c>
      <c r="C1424" t="inlineStr">
        <is>
          <t>0                      HV 9475000C  2                  W  55          2005</t>
        </is>
      </c>
      <c r="D1424" t="inlineStr">
        <is>
          <t>Prison work : a tale of thirty years in the California Department of Corrections / William Richard Wilkinson ; edited by John C. Burnham and Joseph F. Spillane.</t>
        </is>
      </c>
      <c r="F1424" t="inlineStr">
        <is>
          <t>No</t>
        </is>
      </c>
      <c r="G1424" t="inlineStr">
        <is>
          <t>1</t>
        </is>
      </c>
      <c r="H1424" t="inlineStr">
        <is>
          <t>No</t>
        </is>
      </c>
      <c r="I1424" t="inlineStr">
        <is>
          <t>No</t>
        </is>
      </c>
      <c r="J1424" t="inlineStr">
        <is>
          <t>0</t>
        </is>
      </c>
      <c r="K1424" t="inlineStr">
        <is>
          <t>Wilkinson, William Richard.</t>
        </is>
      </c>
      <c r="L1424" t="inlineStr">
        <is>
          <t>Columbus : Ohio State University, c2005.</t>
        </is>
      </c>
      <c r="M1424" t="inlineStr">
        <is>
          <t>2005</t>
        </is>
      </c>
      <c r="O1424" t="inlineStr">
        <is>
          <t>eng</t>
        </is>
      </c>
      <c r="P1424" t="inlineStr">
        <is>
          <t>ohu</t>
        </is>
      </c>
      <c r="Q1424" t="inlineStr">
        <is>
          <t>History of crime and criminal justice</t>
        </is>
      </c>
      <c r="R1424" t="inlineStr">
        <is>
          <t xml:space="preserve">HV </t>
        </is>
      </c>
      <c r="S1424" t="n">
        <v>2</v>
      </c>
      <c r="T1424" t="n">
        <v>2</v>
      </c>
      <c r="U1424" t="inlineStr">
        <is>
          <t>2007-11-09</t>
        </is>
      </c>
      <c r="V1424" t="inlineStr">
        <is>
          <t>2007-11-09</t>
        </is>
      </c>
      <c r="W1424" t="inlineStr">
        <is>
          <t>2006-12-12</t>
        </is>
      </c>
      <c r="X1424" t="inlineStr">
        <is>
          <t>2006-12-12</t>
        </is>
      </c>
      <c r="Y1424" t="n">
        <v>205</v>
      </c>
      <c r="Z1424" t="n">
        <v>192</v>
      </c>
      <c r="AA1424" t="n">
        <v>215</v>
      </c>
      <c r="AB1424" t="n">
        <v>2</v>
      </c>
      <c r="AC1424" t="n">
        <v>2</v>
      </c>
      <c r="AD1424" t="n">
        <v>13</v>
      </c>
      <c r="AE1424" t="n">
        <v>13</v>
      </c>
      <c r="AF1424" t="n">
        <v>5</v>
      </c>
      <c r="AG1424" t="n">
        <v>5</v>
      </c>
      <c r="AH1424" t="n">
        <v>3</v>
      </c>
      <c r="AI1424" t="n">
        <v>3</v>
      </c>
      <c r="AJ1424" t="n">
        <v>8</v>
      </c>
      <c r="AK1424" t="n">
        <v>8</v>
      </c>
      <c r="AL1424" t="n">
        <v>1</v>
      </c>
      <c r="AM1424" t="n">
        <v>1</v>
      </c>
      <c r="AN1424" t="n">
        <v>1</v>
      </c>
      <c r="AO1424" t="n">
        <v>1</v>
      </c>
      <c r="AP1424" t="inlineStr">
        <is>
          <t>No</t>
        </is>
      </c>
      <c r="AQ1424" t="inlineStr">
        <is>
          <t>No</t>
        </is>
      </c>
      <c r="AS1424">
        <f>HYPERLINK("https://creighton-primo.hosted.exlibrisgroup.com/primo-explore/search?tab=default_tab&amp;search_scope=EVERYTHING&amp;vid=01CRU&amp;lang=en_US&amp;offset=0&amp;query=any,contains,991004991719702656","Catalog Record")</f>
        <v/>
      </c>
      <c r="AT1424">
        <f>HYPERLINK("http://www.worldcat.org/oclc/58546400","WorldCat Record")</f>
        <v/>
      </c>
      <c r="AU1424" t="inlineStr">
        <is>
          <t>962934:eng</t>
        </is>
      </c>
      <c r="AV1424" t="inlineStr">
        <is>
          <t>58546400</t>
        </is>
      </c>
      <c r="AW1424" t="inlineStr">
        <is>
          <t>991004991719702656</t>
        </is>
      </c>
      <c r="AX1424" t="inlineStr">
        <is>
          <t>991004991719702656</t>
        </is>
      </c>
      <c r="AY1424" t="inlineStr">
        <is>
          <t>2257935700002656</t>
        </is>
      </c>
      <c r="AZ1424" t="inlineStr">
        <is>
          <t>BOOK</t>
        </is>
      </c>
      <c r="BB1424" t="inlineStr">
        <is>
          <t>9780814210017</t>
        </is>
      </c>
      <c r="BC1424" t="inlineStr">
        <is>
          <t>32285005266175</t>
        </is>
      </c>
      <c r="BD1424" t="inlineStr">
        <is>
          <t>893795476</t>
        </is>
      </c>
    </row>
    <row r="1425">
      <c r="A1425" t="inlineStr">
        <is>
          <t>No</t>
        </is>
      </c>
      <c r="B1425" t="inlineStr">
        <is>
          <t>HV9475.C3 C57 1968</t>
        </is>
      </c>
      <c r="C1425" t="inlineStr">
        <is>
          <t>0                      HV 9475000C  3                  C  57          1968</t>
        </is>
      </c>
      <c r="D1425" t="inlineStr">
        <is>
          <t>Prisoners are people, by Kenyon J. Scudder.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K1425" t="inlineStr">
        <is>
          <t>Scudder, Kenyon J. (Kenyon Judson), 1890-1977.</t>
        </is>
      </c>
      <c r="L1425" t="inlineStr">
        <is>
          <t>New York, Greenwood Press, 1968 [c1952]</t>
        </is>
      </c>
      <c r="M1425" t="inlineStr">
        <is>
          <t>1968</t>
        </is>
      </c>
      <c r="N1425" t="inlineStr">
        <is>
          <t>[1st ed.]</t>
        </is>
      </c>
      <c r="O1425" t="inlineStr">
        <is>
          <t>eng</t>
        </is>
      </c>
      <c r="P1425" t="inlineStr">
        <is>
          <t>nyu</t>
        </is>
      </c>
      <c r="R1425" t="inlineStr">
        <is>
          <t xml:space="preserve">HV </t>
        </is>
      </c>
      <c r="S1425" t="n">
        <v>2</v>
      </c>
      <c r="T1425" t="n">
        <v>2</v>
      </c>
      <c r="U1425" t="inlineStr">
        <is>
          <t>1998-03-18</t>
        </is>
      </c>
      <c r="V1425" t="inlineStr">
        <is>
          <t>1998-03-18</t>
        </is>
      </c>
      <c r="W1425" t="inlineStr">
        <is>
          <t>1997-08-26</t>
        </is>
      </c>
      <c r="X1425" t="inlineStr">
        <is>
          <t>1997-08-26</t>
        </is>
      </c>
      <c r="Y1425" t="n">
        <v>226</v>
      </c>
      <c r="Z1425" t="n">
        <v>193</v>
      </c>
      <c r="AA1425" t="n">
        <v>491</v>
      </c>
      <c r="AB1425" t="n">
        <v>1</v>
      </c>
      <c r="AC1425" t="n">
        <v>4</v>
      </c>
      <c r="AD1425" t="n">
        <v>9</v>
      </c>
      <c r="AE1425" t="n">
        <v>24</v>
      </c>
      <c r="AF1425" t="n">
        <v>3</v>
      </c>
      <c r="AG1425" t="n">
        <v>6</v>
      </c>
      <c r="AH1425" t="n">
        <v>3</v>
      </c>
      <c r="AI1425" t="n">
        <v>7</v>
      </c>
      <c r="AJ1425" t="n">
        <v>4</v>
      </c>
      <c r="AK1425" t="n">
        <v>12</v>
      </c>
      <c r="AL1425" t="n">
        <v>0</v>
      </c>
      <c r="AM1425" t="n">
        <v>3</v>
      </c>
      <c r="AN1425" t="n">
        <v>2</v>
      </c>
      <c r="AO1425" t="n">
        <v>3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HYPERLINK("http://catalog.hathitrust.org/Record/008307759","HathiTrust Record")</f>
        <v/>
      </c>
      <c r="AS1425">
        <f>HYPERLINK("https://creighton-primo.hosted.exlibrisgroup.com/primo-explore/search?tab=default_tab&amp;search_scope=EVERYTHING&amp;vid=01CRU&amp;lang=en_US&amp;offset=0&amp;query=any,contains,991002237959702656","Catalog Record")</f>
        <v/>
      </c>
      <c r="AT1425">
        <f>HYPERLINK("http://www.worldcat.org/oclc/296401","WorldCat Record")</f>
        <v/>
      </c>
      <c r="AU1425" t="inlineStr">
        <is>
          <t>499378:eng</t>
        </is>
      </c>
      <c r="AV1425" t="inlineStr">
        <is>
          <t>296401</t>
        </is>
      </c>
      <c r="AW1425" t="inlineStr">
        <is>
          <t>991002237959702656</t>
        </is>
      </c>
      <c r="AX1425" t="inlineStr">
        <is>
          <t>991002237959702656</t>
        </is>
      </c>
      <c r="AY1425" t="inlineStr">
        <is>
          <t>2262667000002656</t>
        </is>
      </c>
      <c r="AZ1425" t="inlineStr">
        <is>
          <t>BOOK</t>
        </is>
      </c>
      <c r="BC1425" t="inlineStr">
        <is>
          <t>32285003190138</t>
        </is>
      </c>
      <c r="BD1425" t="inlineStr">
        <is>
          <t>893798351</t>
        </is>
      </c>
    </row>
    <row r="1426">
      <c r="A1426" t="inlineStr">
        <is>
          <t>No</t>
        </is>
      </c>
      <c r="B1426" t="inlineStr">
        <is>
          <t>HV9475.I32 S824</t>
        </is>
      </c>
      <c r="C1426" t="inlineStr">
        <is>
          <t>0                      HV 9475000I  32                 S  824</t>
        </is>
      </c>
      <c r="D1426" t="inlineStr">
        <is>
          <t>Stateville : the penitentiary in mass society / James B. Jacobs.</t>
        </is>
      </c>
      <c r="F1426" t="inlineStr">
        <is>
          <t>No</t>
        </is>
      </c>
      <c r="G1426" t="inlineStr">
        <is>
          <t>1</t>
        </is>
      </c>
      <c r="H1426" t="inlineStr">
        <is>
          <t>Yes</t>
        </is>
      </c>
      <c r="I1426" t="inlineStr">
        <is>
          <t>No</t>
        </is>
      </c>
      <c r="J1426" t="inlineStr">
        <is>
          <t>0</t>
        </is>
      </c>
      <c r="K1426" t="inlineStr">
        <is>
          <t>Jacobs, James B.</t>
        </is>
      </c>
      <c r="L1426" t="inlineStr">
        <is>
          <t>Chicago : University of Chicago Press, 1977.</t>
        </is>
      </c>
      <c r="M1426" t="inlineStr">
        <is>
          <t>1977</t>
        </is>
      </c>
      <c r="O1426" t="inlineStr">
        <is>
          <t>eng</t>
        </is>
      </c>
      <c r="P1426" t="inlineStr">
        <is>
          <t>ilu</t>
        </is>
      </c>
      <c r="Q1426" t="inlineStr">
        <is>
          <t>Studies in crime and justice</t>
        </is>
      </c>
      <c r="R1426" t="inlineStr">
        <is>
          <t xml:space="preserve">HV </t>
        </is>
      </c>
      <c r="S1426" t="n">
        <v>2</v>
      </c>
      <c r="T1426" t="n">
        <v>2</v>
      </c>
      <c r="U1426" t="inlineStr">
        <is>
          <t>1999-01-13</t>
        </is>
      </c>
      <c r="V1426" t="inlineStr">
        <is>
          <t>1999-01-13</t>
        </is>
      </c>
      <c r="W1426" t="inlineStr">
        <is>
          <t>1997-08-26</t>
        </is>
      </c>
      <c r="X1426" t="inlineStr">
        <is>
          <t>2006-06-15</t>
        </is>
      </c>
      <c r="Y1426" t="n">
        <v>793</v>
      </c>
      <c r="Z1426" t="n">
        <v>685</v>
      </c>
      <c r="AA1426" t="n">
        <v>704</v>
      </c>
      <c r="AB1426" t="n">
        <v>8</v>
      </c>
      <c r="AC1426" t="n">
        <v>8</v>
      </c>
      <c r="AD1426" t="n">
        <v>41</v>
      </c>
      <c r="AE1426" t="n">
        <v>41</v>
      </c>
      <c r="AF1426" t="n">
        <v>10</v>
      </c>
      <c r="AG1426" t="n">
        <v>10</v>
      </c>
      <c r="AH1426" t="n">
        <v>8</v>
      </c>
      <c r="AI1426" t="n">
        <v>8</v>
      </c>
      <c r="AJ1426" t="n">
        <v>14</v>
      </c>
      <c r="AK1426" t="n">
        <v>14</v>
      </c>
      <c r="AL1426" t="n">
        <v>6</v>
      </c>
      <c r="AM1426" t="n">
        <v>6</v>
      </c>
      <c r="AN1426" t="n">
        <v>12</v>
      </c>
      <c r="AO1426" t="n">
        <v>12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HYPERLINK("https://creighton-primo.hosted.exlibrisgroup.com/primo-explore/search?tab=default_tab&amp;search_scope=EVERYTHING&amp;vid=01CRU&amp;lang=en_US&amp;offset=0&amp;query=any,contains,991001653999702656","Catalog Record")</f>
        <v/>
      </c>
      <c r="AT1426">
        <f>HYPERLINK("http://www.worldcat.org/oclc/2372714","WorldCat Record")</f>
        <v/>
      </c>
      <c r="AU1426" t="inlineStr">
        <is>
          <t>795092258:eng</t>
        </is>
      </c>
      <c r="AV1426" t="inlineStr">
        <is>
          <t>2372714</t>
        </is>
      </c>
      <c r="AW1426" t="inlineStr">
        <is>
          <t>991001653999702656</t>
        </is>
      </c>
      <c r="AX1426" t="inlineStr">
        <is>
          <t>991001653999702656</t>
        </is>
      </c>
      <c r="AY1426" t="inlineStr">
        <is>
          <t>2256410620002656</t>
        </is>
      </c>
      <c r="AZ1426" t="inlineStr">
        <is>
          <t>BOOK</t>
        </is>
      </c>
      <c r="BB1426" t="inlineStr">
        <is>
          <t>9780226389769</t>
        </is>
      </c>
      <c r="BC1426" t="inlineStr">
        <is>
          <t>32285003190161</t>
        </is>
      </c>
      <c r="BD1426" t="inlineStr">
        <is>
          <t>893497252</t>
        </is>
      </c>
    </row>
    <row r="1427">
      <c r="A1427" t="inlineStr">
        <is>
          <t>No</t>
        </is>
      </c>
      <c r="B1427" t="inlineStr">
        <is>
          <t>HV9475.N52 T7</t>
        </is>
      </c>
      <c r="C1427" t="inlineStr">
        <is>
          <t>0                      HV 9475000N  52                 T  7</t>
        </is>
      </c>
      <c r="D1427" t="inlineStr">
        <is>
          <t>The society of captives : a study of maximum security prison / by Gresham M. Sykes.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Yes</t>
        </is>
      </c>
      <c r="J1427" t="inlineStr">
        <is>
          <t>0</t>
        </is>
      </c>
      <c r="K1427" t="inlineStr">
        <is>
          <t>Sykes, Gresham M.</t>
        </is>
      </c>
      <c r="L1427" t="inlineStr">
        <is>
          <t>Princeton, N.J. : Princeton University Press, 1958.</t>
        </is>
      </c>
      <c r="M1427" t="inlineStr">
        <is>
          <t>1958</t>
        </is>
      </c>
      <c r="O1427" t="inlineStr">
        <is>
          <t>eng</t>
        </is>
      </c>
      <c r="P1427" t="inlineStr">
        <is>
          <t>nju</t>
        </is>
      </c>
      <c r="R1427" t="inlineStr">
        <is>
          <t xml:space="preserve">HV </t>
        </is>
      </c>
      <c r="S1427" t="n">
        <v>1</v>
      </c>
      <c r="T1427" t="n">
        <v>1</v>
      </c>
      <c r="U1427" t="inlineStr">
        <is>
          <t>2008-04-15</t>
        </is>
      </c>
      <c r="V1427" t="inlineStr">
        <is>
          <t>2008-04-15</t>
        </is>
      </c>
      <c r="W1427" t="inlineStr">
        <is>
          <t>1997-08-26</t>
        </is>
      </c>
      <c r="X1427" t="inlineStr">
        <is>
          <t>1997-08-26</t>
        </is>
      </c>
      <c r="Y1427" t="n">
        <v>886</v>
      </c>
      <c r="Z1427" t="n">
        <v>728</v>
      </c>
      <c r="AA1427" t="n">
        <v>1138</v>
      </c>
      <c r="AB1427" t="n">
        <v>7</v>
      </c>
      <c r="AC1427" t="n">
        <v>13</v>
      </c>
      <c r="AD1427" t="n">
        <v>37</v>
      </c>
      <c r="AE1427" t="n">
        <v>61</v>
      </c>
      <c r="AF1427" t="n">
        <v>12</v>
      </c>
      <c r="AG1427" t="n">
        <v>20</v>
      </c>
      <c r="AH1427" t="n">
        <v>5</v>
      </c>
      <c r="AI1427" t="n">
        <v>10</v>
      </c>
      <c r="AJ1427" t="n">
        <v>13</v>
      </c>
      <c r="AK1427" t="n">
        <v>22</v>
      </c>
      <c r="AL1427" t="n">
        <v>4</v>
      </c>
      <c r="AM1427" t="n">
        <v>9</v>
      </c>
      <c r="AN1427" t="n">
        <v>8</v>
      </c>
      <c r="AO1427" t="n">
        <v>11</v>
      </c>
      <c r="AP1427" t="inlineStr">
        <is>
          <t>No</t>
        </is>
      </c>
      <c r="AQ1427" t="inlineStr">
        <is>
          <t>No</t>
        </is>
      </c>
      <c r="AS1427">
        <f>HYPERLINK("https://creighton-primo.hosted.exlibrisgroup.com/primo-explore/search?tab=default_tab&amp;search_scope=EVERYTHING&amp;vid=01CRU&amp;lang=en_US&amp;offset=0&amp;query=any,contains,991002088019702656","Catalog Record")</f>
        <v/>
      </c>
      <c r="AT1427">
        <f>HYPERLINK("http://www.worldcat.org/oclc/265301","WorldCat Record")</f>
        <v/>
      </c>
      <c r="AU1427" t="inlineStr">
        <is>
          <t>441017:eng</t>
        </is>
      </c>
      <c r="AV1427" t="inlineStr">
        <is>
          <t>265301</t>
        </is>
      </c>
      <c r="AW1427" t="inlineStr">
        <is>
          <t>991002088019702656</t>
        </is>
      </c>
      <c r="AX1427" t="inlineStr">
        <is>
          <t>991002088019702656</t>
        </is>
      </c>
      <c r="AY1427" t="inlineStr">
        <is>
          <t>2267582400002656</t>
        </is>
      </c>
      <c r="AZ1427" t="inlineStr">
        <is>
          <t>BOOK</t>
        </is>
      </c>
      <c r="BC1427" t="inlineStr">
        <is>
          <t>32285003190187</t>
        </is>
      </c>
      <c r="BD1427" t="inlineStr">
        <is>
          <t>893341020</t>
        </is>
      </c>
    </row>
    <row r="1428">
      <c r="A1428" t="inlineStr">
        <is>
          <t>No</t>
        </is>
      </c>
      <c r="B1428" t="inlineStr">
        <is>
          <t>HV9475.N72 S563 2000</t>
        </is>
      </c>
      <c r="C1428" t="inlineStr">
        <is>
          <t>0                      HV 9475000N  72                 S  563         2000</t>
        </is>
      </c>
      <c r="D1428" t="inlineStr">
        <is>
          <t>Newjack : guarding Sing Sing / Ted Conover.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Conover, Ted.</t>
        </is>
      </c>
      <c r="L1428" t="inlineStr">
        <is>
          <t>New York : Random House, c2000.</t>
        </is>
      </c>
      <c r="M1428" t="inlineStr">
        <is>
          <t>2000</t>
        </is>
      </c>
      <c r="N1428" t="inlineStr">
        <is>
          <t>1st ed.</t>
        </is>
      </c>
      <c r="O1428" t="inlineStr">
        <is>
          <t>eng</t>
        </is>
      </c>
      <c r="P1428" t="inlineStr">
        <is>
          <t>nyu</t>
        </is>
      </c>
      <c r="R1428" t="inlineStr">
        <is>
          <t xml:space="preserve">HV </t>
        </is>
      </c>
      <c r="S1428" t="n">
        <v>2</v>
      </c>
      <c r="T1428" t="n">
        <v>2</v>
      </c>
      <c r="U1428" t="inlineStr">
        <is>
          <t>2001-07-23</t>
        </is>
      </c>
      <c r="V1428" t="inlineStr">
        <is>
          <t>2001-07-23</t>
        </is>
      </c>
      <c r="W1428" t="inlineStr">
        <is>
          <t>2001-07-03</t>
        </is>
      </c>
      <c r="X1428" t="inlineStr">
        <is>
          <t>2001-07-03</t>
        </is>
      </c>
      <c r="Y1428" t="n">
        <v>1476</v>
      </c>
      <c r="Z1428" t="n">
        <v>1427</v>
      </c>
      <c r="AA1428" t="n">
        <v>1772</v>
      </c>
      <c r="AB1428" t="n">
        <v>9</v>
      </c>
      <c r="AC1428" t="n">
        <v>10</v>
      </c>
      <c r="AD1428" t="n">
        <v>35</v>
      </c>
      <c r="AE1428" t="n">
        <v>45</v>
      </c>
      <c r="AF1428" t="n">
        <v>14</v>
      </c>
      <c r="AG1428" t="n">
        <v>17</v>
      </c>
      <c r="AH1428" t="n">
        <v>5</v>
      </c>
      <c r="AI1428" t="n">
        <v>9</v>
      </c>
      <c r="AJ1428" t="n">
        <v>17</v>
      </c>
      <c r="AK1428" t="n">
        <v>21</v>
      </c>
      <c r="AL1428" t="n">
        <v>5</v>
      </c>
      <c r="AM1428" t="n">
        <v>6</v>
      </c>
      <c r="AN1428" t="n">
        <v>2</v>
      </c>
      <c r="AO1428" t="n">
        <v>3</v>
      </c>
      <c r="AP1428" t="inlineStr">
        <is>
          <t>No</t>
        </is>
      </c>
      <c r="AQ1428" t="inlineStr">
        <is>
          <t>No</t>
        </is>
      </c>
      <c r="AS1428">
        <f>HYPERLINK("https://creighton-primo.hosted.exlibrisgroup.com/primo-explore/search?tab=default_tab&amp;search_scope=EVERYTHING&amp;vid=01CRU&amp;lang=en_US&amp;offset=0&amp;query=any,contains,991003539549702656","Catalog Record")</f>
        <v/>
      </c>
      <c r="AT1428">
        <f>HYPERLINK("http://www.worldcat.org/oclc/43109918","WorldCat Record")</f>
        <v/>
      </c>
      <c r="AU1428" t="inlineStr">
        <is>
          <t>27658460:eng</t>
        </is>
      </c>
      <c r="AV1428" t="inlineStr">
        <is>
          <t>43109918</t>
        </is>
      </c>
      <c r="AW1428" t="inlineStr">
        <is>
          <t>991003539549702656</t>
        </is>
      </c>
      <c r="AX1428" t="inlineStr">
        <is>
          <t>991003539549702656</t>
        </is>
      </c>
      <c r="AY1428" t="inlineStr">
        <is>
          <t>2268025280002656</t>
        </is>
      </c>
      <c r="AZ1428" t="inlineStr">
        <is>
          <t>BOOK</t>
        </is>
      </c>
      <c r="BB1428" t="inlineStr">
        <is>
          <t>9780375501777</t>
        </is>
      </c>
      <c r="BC1428" t="inlineStr">
        <is>
          <t>32285004329842</t>
        </is>
      </c>
      <c r="BD1428" t="inlineStr">
        <is>
          <t>893505673</t>
        </is>
      </c>
    </row>
    <row r="1429">
      <c r="A1429" t="inlineStr">
        <is>
          <t>No</t>
        </is>
      </c>
      <c r="B1429" t="inlineStr">
        <is>
          <t>HV9475.T4 L9</t>
        </is>
      </c>
      <c r="C1429" t="inlineStr">
        <is>
          <t>0                      HV 9475000T  4                  L  9</t>
        </is>
      </c>
      <c r="D1429" t="inlineStr">
        <is>
          <t>Conversations with the dead / photos. of prison life, with the letters and drawings of Billy McCune #122054.</t>
        </is>
      </c>
      <c r="F1429" t="inlineStr">
        <is>
          <t>No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K1429" t="inlineStr">
        <is>
          <t>Lyon, Danny.</t>
        </is>
      </c>
      <c r="L1429" t="inlineStr">
        <is>
          <t>New York : Holt, Rinehart and Winston, [1971]</t>
        </is>
      </c>
      <c r="M1429" t="inlineStr">
        <is>
          <t>1971</t>
        </is>
      </c>
      <c r="N1429" t="inlineStr">
        <is>
          <t>[1st ed.]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HV </t>
        </is>
      </c>
      <c r="S1429" t="n">
        <v>4</v>
      </c>
      <c r="T1429" t="n">
        <v>4</v>
      </c>
      <c r="U1429" t="inlineStr">
        <is>
          <t>2008-04-15</t>
        </is>
      </c>
      <c r="V1429" t="inlineStr">
        <is>
          <t>2008-04-15</t>
        </is>
      </c>
      <c r="W1429" t="inlineStr">
        <is>
          <t>1994-04-08</t>
        </is>
      </c>
      <c r="X1429" t="inlineStr">
        <is>
          <t>1994-04-08</t>
        </is>
      </c>
      <c r="Y1429" t="n">
        <v>393</v>
      </c>
      <c r="Z1429" t="n">
        <v>357</v>
      </c>
      <c r="AA1429" t="n">
        <v>416</v>
      </c>
      <c r="AB1429" t="n">
        <v>3</v>
      </c>
      <c r="AC1429" t="n">
        <v>3</v>
      </c>
      <c r="AD1429" t="n">
        <v>12</v>
      </c>
      <c r="AE1429" t="n">
        <v>14</v>
      </c>
      <c r="AF1429" t="n">
        <v>2</v>
      </c>
      <c r="AG1429" t="n">
        <v>3</v>
      </c>
      <c r="AH1429" t="n">
        <v>3</v>
      </c>
      <c r="AI1429" t="n">
        <v>4</v>
      </c>
      <c r="AJ1429" t="n">
        <v>6</v>
      </c>
      <c r="AK1429" t="n">
        <v>7</v>
      </c>
      <c r="AL1429" t="n">
        <v>1</v>
      </c>
      <c r="AM1429" t="n">
        <v>1</v>
      </c>
      <c r="AN1429" t="n">
        <v>1</v>
      </c>
      <c r="AO1429" t="n">
        <v>1</v>
      </c>
      <c r="AP1429" t="inlineStr">
        <is>
          <t>No</t>
        </is>
      </c>
      <c r="AQ1429" t="inlineStr">
        <is>
          <t>No</t>
        </is>
      </c>
      <c r="AS1429">
        <f>HYPERLINK("https://creighton-primo.hosted.exlibrisgroup.com/primo-explore/search?tab=default_tab&amp;search_scope=EVERYTHING&amp;vid=01CRU&amp;lang=en_US&amp;offset=0&amp;query=any,contains,991001267999702656","Catalog Record")</f>
        <v/>
      </c>
      <c r="AT1429">
        <f>HYPERLINK("http://www.worldcat.org/oclc/210471","WorldCat Record")</f>
        <v/>
      </c>
      <c r="AU1429" t="inlineStr">
        <is>
          <t>2453290837:eng</t>
        </is>
      </c>
      <c r="AV1429" t="inlineStr">
        <is>
          <t>210471</t>
        </is>
      </c>
      <c r="AW1429" t="inlineStr">
        <is>
          <t>991001267999702656</t>
        </is>
      </c>
      <c r="AX1429" t="inlineStr">
        <is>
          <t>991001267999702656</t>
        </is>
      </c>
      <c r="AY1429" t="inlineStr">
        <is>
          <t>2261936230002656</t>
        </is>
      </c>
      <c r="AZ1429" t="inlineStr">
        <is>
          <t>BOOK</t>
        </is>
      </c>
      <c r="BB1429" t="inlineStr">
        <is>
          <t>9780030850684</t>
        </is>
      </c>
      <c r="BC1429" t="inlineStr">
        <is>
          <t>32285001874626</t>
        </is>
      </c>
      <c r="BD1429" t="inlineStr">
        <is>
          <t>893803507</t>
        </is>
      </c>
    </row>
    <row r="1430">
      <c r="A1430" t="inlineStr">
        <is>
          <t>No</t>
        </is>
      </c>
      <c r="B1430" t="inlineStr">
        <is>
          <t>HV95 .A5995 2006</t>
        </is>
      </c>
      <c r="C1430" t="inlineStr">
        <is>
          <t>0                      HV 0095000A  5995        2006</t>
        </is>
      </c>
      <c r="D1430" t="inlineStr">
        <is>
          <t>Social welfare programs : narratives from hard times / Raymond Albert, Louise Skolnik.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K1430" t="inlineStr">
        <is>
          <t>Albert, Raymond.</t>
        </is>
      </c>
      <c r="L1430" t="inlineStr">
        <is>
          <t>Belmont, CA : Thomson Brooks/Cole, c2006.</t>
        </is>
      </c>
      <c r="M1430" t="inlineStr">
        <is>
          <t>2006</t>
        </is>
      </c>
      <c r="O1430" t="inlineStr">
        <is>
          <t>eng</t>
        </is>
      </c>
      <c r="P1430" t="inlineStr">
        <is>
          <t>cau</t>
        </is>
      </c>
      <c r="R1430" t="inlineStr">
        <is>
          <t xml:space="preserve">HV </t>
        </is>
      </c>
      <c r="S1430" t="n">
        <v>2</v>
      </c>
      <c r="T1430" t="n">
        <v>2</v>
      </c>
      <c r="U1430" t="inlineStr">
        <is>
          <t>2008-04-04</t>
        </is>
      </c>
      <c r="V1430" t="inlineStr">
        <is>
          <t>2008-04-04</t>
        </is>
      </c>
      <c r="W1430" t="inlineStr">
        <is>
          <t>2005-11-08</t>
        </is>
      </c>
      <c r="X1430" t="inlineStr">
        <is>
          <t>2005-11-08</t>
        </is>
      </c>
      <c r="Y1430" t="n">
        <v>143</v>
      </c>
      <c r="Z1430" t="n">
        <v>114</v>
      </c>
      <c r="AA1430" t="n">
        <v>122</v>
      </c>
      <c r="AB1430" t="n">
        <v>1</v>
      </c>
      <c r="AC1430" t="n">
        <v>1</v>
      </c>
      <c r="AD1430" t="n">
        <v>2</v>
      </c>
      <c r="AE1430" t="n">
        <v>2</v>
      </c>
      <c r="AF1430" t="n">
        <v>0</v>
      </c>
      <c r="AG1430" t="n">
        <v>0</v>
      </c>
      <c r="AH1430" t="n">
        <v>1</v>
      </c>
      <c r="AI1430" t="n">
        <v>1</v>
      </c>
      <c r="AJ1430" t="n">
        <v>2</v>
      </c>
      <c r="AK1430" t="n">
        <v>2</v>
      </c>
      <c r="AL1430" t="n">
        <v>0</v>
      </c>
      <c r="AM1430" t="n">
        <v>0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Yes</t>
        </is>
      </c>
      <c r="AR1430">
        <f>HYPERLINK("http://catalog.hathitrust.org/Record/005082635","HathiTrust Record")</f>
        <v/>
      </c>
      <c r="AS1430">
        <f>HYPERLINK("https://creighton-primo.hosted.exlibrisgroup.com/primo-explore/search?tab=default_tab&amp;search_scope=EVERYTHING&amp;vid=01CRU&amp;lang=en_US&amp;offset=0&amp;query=any,contains,991004674129702656","Catalog Record")</f>
        <v/>
      </c>
      <c r="AT1430">
        <f>HYPERLINK("http://www.worldcat.org/oclc/61774028","WorldCat Record")</f>
        <v/>
      </c>
      <c r="AU1430" t="inlineStr">
        <is>
          <t>46302628:eng</t>
        </is>
      </c>
      <c r="AV1430" t="inlineStr">
        <is>
          <t>61774028</t>
        </is>
      </c>
      <c r="AW1430" t="inlineStr">
        <is>
          <t>991004674129702656</t>
        </is>
      </c>
      <c r="AX1430" t="inlineStr">
        <is>
          <t>991004674129702656</t>
        </is>
      </c>
      <c r="AY1430" t="inlineStr">
        <is>
          <t>2260811080002656</t>
        </is>
      </c>
      <c r="AZ1430" t="inlineStr">
        <is>
          <t>BOOK</t>
        </is>
      </c>
      <c r="BB1430" t="inlineStr">
        <is>
          <t>9780534359188</t>
        </is>
      </c>
      <c r="BC1430" t="inlineStr">
        <is>
          <t>32285005145635</t>
        </is>
      </c>
      <c r="BD1430" t="inlineStr">
        <is>
          <t>893782519</t>
        </is>
      </c>
    </row>
    <row r="1431">
      <c r="A1431" t="inlineStr">
        <is>
          <t>No</t>
        </is>
      </c>
      <c r="B1431" t="inlineStr">
        <is>
          <t>HV95 .A755 1978</t>
        </is>
      </c>
      <c r="C1431" t="inlineStr">
        <is>
          <t>0                      HV 0095000A  755         1978</t>
        </is>
      </c>
      <c r="D1431" t="inlineStr">
        <is>
          <t>Welfare : the political economy of welfare reform in the United States / Martin Anderson.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K1431" t="inlineStr">
        <is>
          <t>Anderson, Martin.</t>
        </is>
      </c>
      <c r="L1431" t="inlineStr">
        <is>
          <t>Stanford, Calif. : Hoover Institution Press, c1978, 1981 printing.</t>
        </is>
      </c>
      <c r="M1431" t="inlineStr">
        <is>
          <t>1978</t>
        </is>
      </c>
      <c r="N1431" t="inlineStr">
        <is>
          <t>1st ed.</t>
        </is>
      </c>
      <c r="O1431" t="inlineStr">
        <is>
          <t>eng</t>
        </is>
      </c>
      <c r="P1431" t="inlineStr">
        <is>
          <t>cau</t>
        </is>
      </c>
      <c r="Q1431" t="inlineStr">
        <is>
          <t>Hoover Institution Press publication ; 181</t>
        </is>
      </c>
      <c r="R1431" t="inlineStr">
        <is>
          <t xml:space="preserve">HV </t>
        </is>
      </c>
      <c r="S1431" t="n">
        <v>9</v>
      </c>
      <c r="T1431" t="n">
        <v>9</v>
      </c>
      <c r="U1431" t="inlineStr">
        <is>
          <t>2008-04-04</t>
        </is>
      </c>
      <c r="V1431" t="inlineStr">
        <is>
          <t>2008-04-04</t>
        </is>
      </c>
      <c r="W1431" t="inlineStr">
        <is>
          <t>1990-07-20</t>
        </is>
      </c>
      <c r="X1431" t="inlineStr">
        <is>
          <t>1990-07-20</t>
        </is>
      </c>
      <c r="Y1431" t="n">
        <v>810</v>
      </c>
      <c r="Z1431" t="n">
        <v>716</v>
      </c>
      <c r="AA1431" t="n">
        <v>719</v>
      </c>
      <c r="AB1431" t="n">
        <v>6</v>
      </c>
      <c r="AC1431" t="n">
        <v>6</v>
      </c>
      <c r="AD1431" t="n">
        <v>33</v>
      </c>
      <c r="AE1431" t="n">
        <v>33</v>
      </c>
      <c r="AF1431" t="n">
        <v>11</v>
      </c>
      <c r="AG1431" t="n">
        <v>11</v>
      </c>
      <c r="AH1431" t="n">
        <v>11</v>
      </c>
      <c r="AI1431" t="n">
        <v>11</v>
      </c>
      <c r="AJ1431" t="n">
        <v>12</v>
      </c>
      <c r="AK1431" t="n">
        <v>12</v>
      </c>
      <c r="AL1431" t="n">
        <v>5</v>
      </c>
      <c r="AM1431" t="n">
        <v>5</v>
      </c>
      <c r="AN1431" t="n">
        <v>3</v>
      </c>
      <c r="AO1431" t="n">
        <v>3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HYPERLINK("http://catalog.hathitrust.org/Record/000761390","HathiTrust Record")</f>
        <v/>
      </c>
      <c r="AS1431">
        <f>HYPERLINK("https://creighton-primo.hosted.exlibrisgroup.com/primo-explore/search?tab=default_tab&amp;search_scope=EVERYTHING&amp;vid=01CRU&amp;lang=en_US&amp;offset=0&amp;query=any,contains,991004504989702656","Catalog Record")</f>
        <v/>
      </c>
      <c r="AT1431">
        <f>HYPERLINK("http://www.worldcat.org/oclc/3730791","WorldCat Record")</f>
        <v/>
      </c>
      <c r="AU1431" t="inlineStr">
        <is>
          <t>197346257:eng</t>
        </is>
      </c>
      <c r="AV1431" t="inlineStr">
        <is>
          <t>3730791</t>
        </is>
      </c>
      <c r="AW1431" t="inlineStr">
        <is>
          <t>991004504989702656</t>
        </is>
      </c>
      <c r="AX1431" t="inlineStr">
        <is>
          <t>991004504989702656</t>
        </is>
      </c>
      <c r="AY1431" t="inlineStr">
        <is>
          <t>2270843300002656</t>
        </is>
      </c>
      <c r="AZ1431" t="inlineStr">
        <is>
          <t>BOOK</t>
        </is>
      </c>
      <c r="BB1431" t="inlineStr">
        <is>
          <t>9780817968113</t>
        </is>
      </c>
      <c r="BC1431" t="inlineStr">
        <is>
          <t>32285000246693</t>
        </is>
      </c>
      <c r="BD1431" t="inlineStr">
        <is>
          <t>893235583</t>
        </is>
      </c>
    </row>
    <row r="1432">
      <c r="A1432" t="inlineStr">
        <is>
          <t>No</t>
        </is>
      </c>
      <c r="B1432" t="inlineStr">
        <is>
          <t>HV95 .B44 1987</t>
        </is>
      </c>
      <c r="C1432" t="inlineStr">
        <is>
          <t>0                      HV 0095000B  44          1987</t>
        </is>
      </c>
      <c r="D1432" t="inlineStr">
        <is>
          <t>Contemporary social welfare / Winifred Bell.</t>
        </is>
      </c>
      <c r="F1432" t="inlineStr">
        <is>
          <t>No</t>
        </is>
      </c>
      <c r="G1432" t="inlineStr">
        <is>
          <t>1</t>
        </is>
      </c>
      <c r="H1432" t="inlineStr">
        <is>
          <t>No</t>
        </is>
      </c>
      <c r="I1432" t="inlineStr">
        <is>
          <t>No</t>
        </is>
      </c>
      <c r="J1432" t="inlineStr">
        <is>
          <t>0</t>
        </is>
      </c>
      <c r="K1432" t="inlineStr">
        <is>
          <t>Bell, Winifred.</t>
        </is>
      </c>
      <c r="L1432" t="inlineStr">
        <is>
          <t>New York : Macmillan ; London : Collier Macmillan Publishers, c1987.</t>
        </is>
      </c>
      <c r="M1432" t="inlineStr">
        <is>
          <t>1987</t>
        </is>
      </c>
      <c r="N1432" t="inlineStr">
        <is>
          <t>2nd ed.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HV </t>
        </is>
      </c>
      <c r="S1432" t="n">
        <v>4</v>
      </c>
      <c r="T1432" t="n">
        <v>4</v>
      </c>
      <c r="U1432" t="inlineStr">
        <is>
          <t>2008-04-04</t>
        </is>
      </c>
      <c r="V1432" t="inlineStr">
        <is>
          <t>2008-04-04</t>
        </is>
      </c>
      <c r="W1432" t="inlineStr">
        <is>
          <t>1995-07-14</t>
        </is>
      </c>
      <c r="X1432" t="inlineStr">
        <is>
          <t>1995-07-14</t>
        </is>
      </c>
      <c r="Y1432" t="n">
        <v>231</v>
      </c>
      <c r="Z1432" t="n">
        <v>199</v>
      </c>
      <c r="AA1432" t="n">
        <v>302</v>
      </c>
      <c r="AB1432" t="n">
        <v>2</v>
      </c>
      <c r="AC1432" t="n">
        <v>2</v>
      </c>
      <c r="AD1432" t="n">
        <v>8</v>
      </c>
      <c r="AE1432" t="n">
        <v>11</v>
      </c>
      <c r="AF1432" t="n">
        <v>1</v>
      </c>
      <c r="AG1432" t="n">
        <v>1</v>
      </c>
      <c r="AH1432" t="n">
        <v>2</v>
      </c>
      <c r="AI1432" t="n">
        <v>4</v>
      </c>
      <c r="AJ1432" t="n">
        <v>5</v>
      </c>
      <c r="AK1432" t="n">
        <v>7</v>
      </c>
      <c r="AL1432" t="n">
        <v>1</v>
      </c>
      <c r="AM1432" t="n">
        <v>1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Yes</t>
        </is>
      </c>
      <c r="AR1432">
        <f>HYPERLINK("http://catalog.hathitrust.org/Record/000832113","HathiTrust Record")</f>
        <v/>
      </c>
      <c r="AS1432">
        <f>HYPERLINK("https://creighton-primo.hosted.exlibrisgroup.com/primo-explore/search?tab=default_tab&amp;search_scope=EVERYTHING&amp;vid=01CRU&amp;lang=en_US&amp;offset=0&amp;query=any,contains,991000902409702656","Catalog Record")</f>
        <v/>
      </c>
      <c r="AT1432">
        <f>HYPERLINK("http://www.worldcat.org/oclc/14068560","WorldCat Record")</f>
        <v/>
      </c>
      <c r="AU1432" t="inlineStr">
        <is>
          <t>7233825:eng</t>
        </is>
      </c>
      <c r="AV1432" t="inlineStr">
        <is>
          <t>14068560</t>
        </is>
      </c>
      <c r="AW1432" t="inlineStr">
        <is>
          <t>991000902409702656</t>
        </is>
      </c>
      <c r="AX1432" t="inlineStr">
        <is>
          <t>991000902409702656</t>
        </is>
      </c>
      <c r="AY1432" t="inlineStr">
        <is>
          <t>2256798100002656</t>
        </is>
      </c>
      <c r="AZ1432" t="inlineStr">
        <is>
          <t>BOOK</t>
        </is>
      </c>
      <c r="BB1432" t="inlineStr">
        <is>
          <t>9780023079412</t>
        </is>
      </c>
      <c r="BC1432" t="inlineStr">
        <is>
          <t>32285002054400</t>
        </is>
      </c>
      <c r="BD1432" t="inlineStr">
        <is>
          <t>893702544</t>
        </is>
      </c>
    </row>
    <row r="1433">
      <c r="A1433" t="inlineStr">
        <is>
          <t>No</t>
        </is>
      </c>
      <c r="B1433" t="inlineStr">
        <is>
          <t>HV95 .B49 1988</t>
        </is>
      </c>
      <c r="C1433" t="inlineStr">
        <is>
          <t>0                      HV 0095000B  49          1988</t>
        </is>
      </c>
      <c r="D1433" t="inlineStr">
        <is>
          <t>Beyond welfare : new approaches to the problem of poverty in America / edited by Harrell R. Rodgers, Jr.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L1433" t="inlineStr">
        <is>
          <t>Armonk, N.Y. : M.E. Sharpe, c1988.</t>
        </is>
      </c>
      <c r="M1433" t="inlineStr">
        <is>
          <t>1988</t>
        </is>
      </c>
      <c r="O1433" t="inlineStr">
        <is>
          <t>eng</t>
        </is>
      </c>
      <c r="P1433" t="inlineStr">
        <is>
          <t>nyu</t>
        </is>
      </c>
      <c r="R1433" t="inlineStr">
        <is>
          <t xml:space="preserve">HV </t>
        </is>
      </c>
      <c r="S1433" t="n">
        <v>17</v>
      </c>
      <c r="T1433" t="n">
        <v>17</v>
      </c>
      <c r="U1433" t="inlineStr">
        <is>
          <t>2008-04-04</t>
        </is>
      </c>
      <c r="V1433" t="inlineStr">
        <is>
          <t>2008-04-04</t>
        </is>
      </c>
      <c r="W1433" t="inlineStr">
        <is>
          <t>1990-07-20</t>
        </is>
      </c>
      <c r="X1433" t="inlineStr">
        <is>
          <t>1990-07-20</t>
        </is>
      </c>
      <c r="Y1433" t="n">
        <v>561</v>
      </c>
      <c r="Z1433" t="n">
        <v>494</v>
      </c>
      <c r="AA1433" t="n">
        <v>518</v>
      </c>
      <c r="AB1433" t="n">
        <v>4</v>
      </c>
      <c r="AC1433" t="n">
        <v>4</v>
      </c>
      <c r="AD1433" t="n">
        <v>23</v>
      </c>
      <c r="AE1433" t="n">
        <v>23</v>
      </c>
      <c r="AF1433" t="n">
        <v>8</v>
      </c>
      <c r="AG1433" t="n">
        <v>8</v>
      </c>
      <c r="AH1433" t="n">
        <v>7</v>
      </c>
      <c r="AI1433" t="n">
        <v>7</v>
      </c>
      <c r="AJ1433" t="n">
        <v>10</v>
      </c>
      <c r="AK1433" t="n">
        <v>10</v>
      </c>
      <c r="AL1433" t="n">
        <v>3</v>
      </c>
      <c r="AM1433" t="n">
        <v>3</v>
      </c>
      <c r="AN1433" t="n">
        <v>1</v>
      </c>
      <c r="AO1433" t="n">
        <v>1</v>
      </c>
      <c r="AP1433" t="inlineStr">
        <is>
          <t>No</t>
        </is>
      </c>
      <c r="AQ1433" t="inlineStr">
        <is>
          <t>Yes</t>
        </is>
      </c>
      <c r="AR1433">
        <f>HYPERLINK("http://catalog.hathitrust.org/Record/000844639","HathiTrust Record")</f>
        <v/>
      </c>
      <c r="AS1433">
        <f>HYPERLINK("https://creighton-primo.hosted.exlibrisgroup.com/primo-explore/search?tab=default_tab&amp;search_scope=EVERYTHING&amp;vid=01CRU&amp;lang=en_US&amp;offset=0&amp;query=any,contains,991001172979702656","Catalog Record")</f>
        <v/>
      </c>
      <c r="AT1433">
        <f>HYPERLINK("http://www.worldcat.org/oclc/16982340","WorldCat Record")</f>
        <v/>
      </c>
      <c r="AU1433" t="inlineStr">
        <is>
          <t>836734001:eng</t>
        </is>
      </c>
      <c r="AV1433" t="inlineStr">
        <is>
          <t>16982340</t>
        </is>
      </c>
      <c r="AW1433" t="inlineStr">
        <is>
          <t>991001172979702656</t>
        </is>
      </c>
      <c r="AX1433" t="inlineStr">
        <is>
          <t>991001172979702656</t>
        </is>
      </c>
      <c r="AY1433" t="inlineStr">
        <is>
          <t>2255910330002656</t>
        </is>
      </c>
      <c r="AZ1433" t="inlineStr">
        <is>
          <t>BOOK</t>
        </is>
      </c>
      <c r="BB1433" t="inlineStr">
        <is>
          <t>9780873324618</t>
        </is>
      </c>
      <c r="BC1433" t="inlineStr">
        <is>
          <t>32285000246701</t>
        </is>
      </c>
      <c r="BD1433" t="inlineStr">
        <is>
          <t>893590076</t>
        </is>
      </c>
    </row>
    <row r="1434">
      <c r="A1434" t="inlineStr">
        <is>
          <t>No</t>
        </is>
      </c>
      <c r="B1434" t="inlineStr">
        <is>
          <t>HV95 .B585 2004</t>
        </is>
      </c>
      <c r="C1434" t="inlineStr">
        <is>
          <t>0                      HV 0095000B  585         2004</t>
        </is>
      </c>
      <c r="D1434" t="inlineStr">
        <is>
          <t>Of little faith : the politics of George W. Bush's faith-based initiatives / Amy E. Black, Douglas L. Koopman, and David K. Ryden.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Black, Amy E.</t>
        </is>
      </c>
      <c r="L1434" t="inlineStr">
        <is>
          <t>Washington, D.C. : Georgetown University Press, c2004.</t>
        </is>
      </c>
      <c r="M1434" t="inlineStr">
        <is>
          <t>2004</t>
        </is>
      </c>
      <c r="O1434" t="inlineStr">
        <is>
          <t>eng</t>
        </is>
      </c>
      <c r="P1434" t="inlineStr">
        <is>
          <t>dcu</t>
        </is>
      </c>
      <c r="Q1434" t="inlineStr">
        <is>
          <t>Religion and politics series</t>
        </is>
      </c>
      <c r="R1434" t="inlineStr">
        <is>
          <t xml:space="preserve">HV </t>
        </is>
      </c>
      <c r="S1434" t="n">
        <v>3</v>
      </c>
      <c r="T1434" t="n">
        <v>3</v>
      </c>
      <c r="U1434" t="inlineStr">
        <is>
          <t>2008-10-03</t>
        </is>
      </c>
      <c r="V1434" t="inlineStr">
        <is>
          <t>2008-10-03</t>
        </is>
      </c>
      <c r="W1434" t="inlineStr">
        <is>
          <t>2004-06-09</t>
        </is>
      </c>
      <c r="X1434" t="inlineStr">
        <is>
          <t>2004-06-09</t>
        </is>
      </c>
      <c r="Y1434" t="n">
        <v>580</v>
      </c>
      <c r="Z1434" t="n">
        <v>534</v>
      </c>
      <c r="AA1434" t="n">
        <v>545</v>
      </c>
      <c r="AB1434" t="n">
        <v>6</v>
      </c>
      <c r="AC1434" t="n">
        <v>6</v>
      </c>
      <c r="AD1434" t="n">
        <v>29</v>
      </c>
      <c r="AE1434" t="n">
        <v>30</v>
      </c>
      <c r="AF1434" t="n">
        <v>12</v>
      </c>
      <c r="AG1434" t="n">
        <v>13</v>
      </c>
      <c r="AH1434" t="n">
        <v>5</v>
      </c>
      <c r="AI1434" t="n">
        <v>6</v>
      </c>
      <c r="AJ1434" t="n">
        <v>14</v>
      </c>
      <c r="AK1434" t="n">
        <v>14</v>
      </c>
      <c r="AL1434" t="n">
        <v>5</v>
      </c>
      <c r="AM1434" t="n">
        <v>5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HYPERLINK("http://catalog.hathitrust.org/Record/004722679","HathiTrust Record")</f>
        <v/>
      </c>
      <c r="AS1434">
        <f>HYPERLINK("https://creighton-primo.hosted.exlibrisgroup.com/primo-explore/search?tab=default_tab&amp;search_scope=EVERYTHING&amp;vid=01CRU&amp;lang=en_US&amp;offset=0&amp;query=any,contains,991004239779702656","Catalog Record")</f>
        <v/>
      </c>
      <c r="AT1434">
        <f>HYPERLINK("http://www.worldcat.org/oclc/52980595","WorldCat Record")</f>
        <v/>
      </c>
      <c r="AU1434" t="inlineStr">
        <is>
          <t>798704:eng</t>
        </is>
      </c>
      <c r="AV1434" t="inlineStr">
        <is>
          <t>52980595</t>
        </is>
      </c>
      <c r="AW1434" t="inlineStr">
        <is>
          <t>991004239779702656</t>
        </is>
      </c>
      <c r="AX1434" t="inlineStr">
        <is>
          <t>991004239779702656</t>
        </is>
      </c>
      <c r="AY1434" t="inlineStr">
        <is>
          <t>2268636580002656</t>
        </is>
      </c>
      <c r="AZ1434" t="inlineStr">
        <is>
          <t>BOOK</t>
        </is>
      </c>
      <c r="BB1434" t="inlineStr">
        <is>
          <t>9781589010123</t>
        </is>
      </c>
      <c r="BC1434" t="inlineStr">
        <is>
          <t>32285004908728</t>
        </is>
      </c>
      <c r="BD1434" t="inlineStr">
        <is>
          <t>893706137</t>
        </is>
      </c>
    </row>
    <row r="1435">
      <c r="A1435" t="inlineStr">
        <is>
          <t>No</t>
        </is>
      </c>
      <c r="B1435" t="inlineStr">
        <is>
          <t>HV95 .B59 1997</t>
        </is>
      </c>
      <c r="C1435" t="inlineStr">
        <is>
          <t>0                      HV 0095000B  59          1997</t>
        </is>
      </c>
      <c r="D1435" t="inlineStr">
        <is>
          <t>It takes a nation : a new agenda for fighting poverty / Rebecca M. Blank.</t>
        </is>
      </c>
      <c r="F1435" t="inlineStr">
        <is>
          <t>No</t>
        </is>
      </c>
      <c r="G1435" t="inlineStr">
        <is>
          <t>1</t>
        </is>
      </c>
      <c r="H1435" t="inlineStr">
        <is>
          <t>Yes</t>
        </is>
      </c>
      <c r="I1435" t="inlineStr">
        <is>
          <t>No</t>
        </is>
      </c>
      <c r="J1435" t="inlineStr">
        <is>
          <t>0</t>
        </is>
      </c>
      <c r="K1435" t="inlineStr">
        <is>
          <t>Blank, Rebecca M.</t>
        </is>
      </c>
      <c r="L1435" t="inlineStr">
        <is>
          <t>New York : Russell Sage Foundation ; Princeton, N.J. : Princeton University Press, c1997.</t>
        </is>
      </c>
      <c r="M1435" t="inlineStr">
        <is>
          <t>1997</t>
        </is>
      </c>
      <c r="O1435" t="inlineStr">
        <is>
          <t>eng</t>
        </is>
      </c>
      <c r="P1435" t="inlineStr">
        <is>
          <t>nyu</t>
        </is>
      </c>
      <c r="R1435" t="inlineStr">
        <is>
          <t xml:space="preserve">HV </t>
        </is>
      </c>
      <c r="S1435" t="n">
        <v>12</v>
      </c>
      <c r="T1435" t="n">
        <v>14</v>
      </c>
      <c r="U1435" t="inlineStr">
        <is>
          <t>2008-04-04</t>
        </is>
      </c>
      <c r="V1435" t="inlineStr">
        <is>
          <t>2008-04-04</t>
        </is>
      </c>
      <c r="W1435" t="inlineStr">
        <is>
          <t>1998-03-26</t>
        </is>
      </c>
      <c r="X1435" t="inlineStr">
        <is>
          <t>1998-03-26</t>
        </is>
      </c>
      <c r="Y1435" t="n">
        <v>952</v>
      </c>
      <c r="Z1435" t="n">
        <v>843</v>
      </c>
      <c r="AA1435" t="n">
        <v>1066</v>
      </c>
      <c r="AB1435" t="n">
        <v>8</v>
      </c>
      <c r="AC1435" t="n">
        <v>8</v>
      </c>
      <c r="AD1435" t="n">
        <v>40</v>
      </c>
      <c r="AE1435" t="n">
        <v>45</v>
      </c>
      <c r="AF1435" t="n">
        <v>15</v>
      </c>
      <c r="AG1435" t="n">
        <v>19</v>
      </c>
      <c r="AH1435" t="n">
        <v>10</v>
      </c>
      <c r="AI1435" t="n">
        <v>11</v>
      </c>
      <c r="AJ1435" t="n">
        <v>18</v>
      </c>
      <c r="AK1435" t="n">
        <v>18</v>
      </c>
      <c r="AL1435" t="n">
        <v>6</v>
      </c>
      <c r="AM1435" t="n">
        <v>6</v>
      </c>
      <c r="AN1435" t="n">
        <v>3</v>
      </c>
      <c r="AO1435" t="n">
        <v>3</v>
      </c>
      <c r="AP1435" t="inlineStr">
        <is>
          <t>No</t>
        </is>
      </c>
      <c r="AQ1435" t="inlineStr">
        <is>
          <t>No</t>
        </is>
      </c>
      <c r="AS1435">
        <f>HYPERLINK("https://creighton-primo.hosted.exlibrisgroup.com/primo-explore/search?tab=default_tab&amp;search_scope=EVERYTHING&amp;vid=01CRU&amp;lang=en_US&amp;offset=0&amp;query=any,contains,991001671729702656","Catalog Record")</f>
        <v/>
      </c>
      <c r="AT1435">
        <f>HYPERLINK("http://www.worldcat.org/oclc/34704893","WorldCat Record")</f>
        <v/>
      </c>
      <c r="AU1435" t="inlineStr">
        <is>
          <t>890861:eng</t>
        </is>
      </c>
      <c r="AV1435" t="inlineStr">
        <is>
          <t>34704893</t>
        </is>
      </c>
      <c r="AW1435" t="inlineStr">
        <is>
          <t>991001671729702656</t>
        </is>
      </c>
      <c r="AX1435" t="inlineStr">
        <is>
          <t>991001671729702656</t>
        </is>
      </c>
      <c r="AY1435" t="inlineStr">
        <is>
          <t>2264912230002656</t>
        </is>
      </c>
      <c r="AZ1435" t="inlineStr">
        <is>
          <t>BOOK</t>
        </is>
      </c>
      <c r="BB1435" t="inlineStr">
        <is>
          <t>9780691026756</t>
        </is>
      </c>
      <c r="BC1435" t="inlineStr">
        <is>
          <t>32285003381109</t>
        </is>
      </c>
      <c r="BD1435" t="inlineStr">
        <is>
          <t>893609034</t>
        </is>
      </c>
    </row>
    <row r="1436">
      <c r="A1436" t="inlineStr">
        <is>
          <t>No</t>
        </is>
      </c>
      <c r="B1436" t="inlineStr">
        <is>
          <t>HV95 .B73 1986</t>
        </is>
      </c>
      <c r="C1436" t="inlineStr">
        <is>
          <t>0                      HV 0095000B  73          1986</t>
        </is>
      </c>
      <c r="D1436" t="inlineStr">
        <is>
          <t>Politics and social welfare policy in the United States / Robert X Browning.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K1436" t="inlineStr">
        <is>
          <t>Browning, Robert X., 1950-</t>
        </is>
      </c>
      <c r="L1436" t="inlineStr">
        <is>
          <t>Knoxville : University of Tennessee Press, c1986.</t>
        </is>
      </c>
      <c r="M1436" t="inlineStr">
        <is>
          <t>1986</t>
        </is>
      </c>
      <c r="N1436" t="inlineStr">
        <is>
          <t>1st ed.</t>
        </is>
      </c>
      <c r="O1436" t="inlineStr">
        <is>
          <t>eng</t>
        </is>
      </c>
      <c r="P1436" t="inlineStr">
        <is>
          <t>tnu</t>
        </is>
      </c>
      <c r="R1436" t="inlineStr">
        <is>
          <t xml:space="preserve">HV </t>
        </is>
      </c>
      <c r="S1436" t="n">
        <v>7</v>
      </c>
      <c r="T1436" t="n">
        <v>7</v>
      </c>
      <c r="U1436" t="inlineStr">
        <is>
          <t>1994-12-06</t>
        </is>
      </c>
      <c r="V1436" t="inlineStr">
        <is>
          <t>1994-12-06</t>
        </is>
      </c>
      <c r="W1436" t="inlineStr">
        <is>
          <t>1990-07-20</t>
        </is>
      </c>
      <c r="X1436" t="inlineStr">
        <is>
          <t>1990-07-20</t>
        </is>
      </c>
      <c r="Y1436" t="n">
        <v>561</v>
      </c>
      <c r="Z1436" t="n">
        <v>496</v>
      </c>
      <c r="AA1436" t="n">
        <v>503</v>
      </c>
      <c r="AB1436" t="n">
        <v>3</v>
      </c>
      <c r="AC1436" t="n">
        <v>3</v>
      </c>
      <c r="AD1436" t="n">
        <v>31</v>
      </c>
      <c r="AE1436" t="n">
        <v>31</v>
      </c>
      <c r="AF1436" t="n">
        <v>12</v>
      </c>
      <c r="AG1436" t="n">
        <v>12</v>
      </c>
      <c r="AH1436" t="n">
        <v>8</v>
      </c>
      <c r="AI1436" t="n">
        <v>8</v>
      </c>
      <c r="AJ1436" t="n">
        <v>16</v>
      </c>
      <c r="AK1436" t="n">
        <v>16</v>
      </c>
      <c r="AL1436" t="n">
        <v>2</v>
      </c>
      <c r="AM1436" t="n">
        <v>2</v>
      </c>
      <c r="AN1436" t="n">
        <v>1</v>
      </c>
      <c r="AO1436" t="n">
        <v>1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HYPERLINK("http://catalog.hathitrust.org/Record/000395066","HathiTrust Record")</f>
        <v/>
      </c>
      <c r="AS1436">
        <f>HYPERLINK("https://creighton-primo.hosted.exlibrisgroup.com/primo-explore/search?tab=default_tab&amp;search_scope=EVERYTHING&amp;vid=01CRU&amp;lang=en_US&amp;offset=0&amp;query=any,contains,991000677879702656","Catalog Record")</f>
        <v/>
      </c>
      <c r="AT1436">
        <f>HYPERLINK("http://www.worldcat.org/oclc/12370737","WorldCat Record")</f>
        <v/>
      </c>
      <c r="AU1436" t="inlineStr">
        <is>
          <t>5027221:eng</t>
        </is>
      </c>
      <c r="AV1436" t="inlineStr">
        <is>
          <t>12370737</t>
        </is>
      </c>
      <c r="AW1436" t="inlineStr">
        <is>
          <t>991000677879702656</t>
        </is>
      </c>
      <c r="AX1436" t="inlineStr">
        <is>
          <t>991000677879702656</t>
        </is>
      </c>
      <c r="AY1436" t="inlineStr">
        <is>
          <t>2261384540002656</t>
        </is>
      </c>
      <c r="AZ1436" t="inlineStr">
        <is>
          <t>BOOK</t>
        </is>
      </c>
      <c r="BB1436" t="inlineStr">
        <is>
          <t>9780870494864</t>
        </is>
      </c>
      <c r="BC1436" t="inlineStr">
        <is>
          <t>32285000246719</t>
        </is>
      </c>
      <c r="BD1436" t="inlineStr">
        <is>
          <t>893339776</t>
        </is>
      </c>
    </row>
    <row r="1437">
      <c r="A1437" t="inlineStr">
        <is>
          <t>No</t>
        </is>
      </c>
      <c r="B1437" t="inlineStr">
        <is>
          <t>HV95 .B87 1985</t>
        </is>
      </c>
      <c r="C1437" t="inlineStr">
        <is>
          <t>0                      HV 0095000B  87          1985</t>
        </is>
      </c>
      <c r="D1437" t="inlineStr">
        <is>
          <t>Testing the social safety net : the impact of changes in support programs during the Reagan administration / Martha R. Burt, Karen J. Pittman.</t>
        </is>
      </c>
      <c r="F1437" t="inlineStr">
        <is>
          <t>No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K1437" t="inlineStr">
        <is>
          <t>Burt, Martha R.</t>
        </is>
      </c>
      <c r="L1437" t="inlineStr">
        <is>
          <t>Washington, D.C. : Urban Institute Press, c1985.</t>
        </is>
      </c>
      <c r="M1437" t="inlineStr">
        <is>
          <t>1985</t>
        </is>
      </c>
      <c r="O1437" t="inlineStr">
        <is>
          <t>eng</t>
        </is>
      </c>
      <c r="P1437" t="inlineStr">
        <is>
          <t>dcu</t>
        </is>
      </c>
      <c r="Q1437" t="inlineStr">
        <is>
          <t>The Changing domestic priorities</t>
        </is>
      </c>
      <c r="R1437" t="inlineStr">
        <is>
          <t xml:space="preserve">HV </t>
        </is>
      </c>
      <c r="S1437" t="n">
        <v>5</v>
      </c>
      <c r="T1437" t="n">
        <v>5</v>
      </c>
      <c r="U1437" t="inlineStr">
        <is>
          <t>1999-11-15</t>
        </is>
      </c>
      <c r="V1437" t="inlineStr">
        <is>
          <t>1999-11-15</t>
        </is>
      </c>
      <c r="W1437" t="inlineStr">
        <is>
          <t>1990-07-20</t>
        </is>
      </c>
      <c r="X1437" t="inlineStr">
        <is>
          <t>1990-07-20</t>
        </is>
      </c>
      <c r="Y1437" t="n">
        <v>503</v>
      </c>
      <c r="Z1437" t="n">
        <v>468</v>
      </c>
      <c r="AA1437" t="n">
        <v>474</v>
      </c>
      <c r="AB1437" t="n">
        <v>4</v>
      </c>
      <c r="AC1437" t="n">
        <v>4</v>
      </c>
      <c r="AD1437" t="n">
        <v>31</v>
      </c>
      <c r="AE1437" t="n">
        <v>31</v>
      </c>
      <c r="AF1437" t="n">
        <v>15</v>
      </c>
      <c r="AG1437" t="n">
        <v>15</v>
      </c>
      <c r="AH1437" t="n">
        <v>6</v>
      </c>
      <c r="AI1437" t="n">
        <v>6</v>
      </c>
      <c r="AJ1437" t="n">
        <v>14</v>
      </c>
      <c r="AK1437" t="n">
        <v>14</v>
      </c>
      <c r="AL1437" t="n">
        <v>3</v>
      </c>
      <c r="AM1437" t="n">
        <v>3</v>
      </c>
      <c r="AN1437" t="n">
        <v>2</v>
      </c>
      <c r="AO1437" t="n">
        <v>2</v>
      </c>
      <c r="AP1437" t="inlineStr">
        <is>
          <t>No</t>
        </is>
      </c>
      <c r="AQ1437" t="inlineStr">
        <is>
          <t>No</t>
        </is>
      </c>
      <c r="AS1437">
        <f>HYPERLINK("https://creighton-primo.hosted.exlibrisgroup.com/primo-explore/search?tab=default_tab&amp;search_scope=EVERYTHING&amp;vid=01CRU&amp;lang=en_US&amp;offset=0&amp;query=any,contains,991000706109702656","Catalog Record")</f>
        <v/>
      </c>
      <c r="AT1437">
        <f>HYPERLINK("http://www.worldcat.org/oclc/12557254","WorldCat Record")</f>
        <v/>
      </c>
      <c r="AU1437" t="inlineStr">
        <is>
          <t>889185367:eng</t>
        </is>
      </c>
      <c r="AV1437" t="inlineStr">
        <is>
          <t>12557254</t>
        </is>
      </c>
      <c r="AW1437" t="inlineStr">
        <is>
          <t>991000706109702656</t>
        </is>
      </c>
      <c r="AX1437" t="inlineStr">
        <is>
          <t>991000706109702656</t>
        </is>
      </c>
      <c r="AY1437" t="inlineStr">
        <is>
          <t>2255433440002656</t>
        </is>
      </c>
      <c r="AZ1437" t="inlineStr">
        <is>
          <t>BOOK</t>
        </is>
      </c>
      <c r="BB1437" t="inlineStr">
        <is>
          <t>9780877663928</t>
        </is>
      </c>
      <c r="BC1437" t="inlineStr">
        <is>
          <t>32285000246743</t>
        </is>
      </c>
      <c r="BD1437" t="inlineStr">
        <is>
          <t>893614426</t>
        </is>
      </c>
    </row>
    <row r="1438">
      <c r="A1438" t="inlineStr">
        <is>
          <t>No</t>
        </is>
      </c>
      <c r="B1438" t="inlineStr">
        <is>
          <t>HV95 .C6478 1992</t>
        </is>
      </c>
      <c r="C1438" t="inlineStr">
        <is>
          <t>0                      HV 0095000C  6478        1992</t>
        </is>
      </c>
      <c r="D1438" t="inlineStr">
        <is>
          <t>Support for the American welfare state : the views of Congress and the public / Fay Lomax Cook, Edith J. Barrett.</t>
        </is>
      </c>
      <c r="F1438" t="inlineStr">
        <is>
          <t>No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K1438" t="inlineStr">
        <is>
          <t>Cook, Fay Lomax.</t>
        </is>
      </c>
      <c r="L1438" t="inlineStr">
        <is>
          <t>New York : Columbia University Press, c1992.</t>
        </is>
      </c>
      <c r="M1438" t="inlineStr">
        <is>
          <t>1992</t>
        </is>
      </c>
      <c r="O1438" t="inlineStr">
        <is>
          <t>eng</t>
        </is>
      </c>
      <c r="P1438" t="inlineStr">
        <is>
          <t>nyu</t>
        </is>
      </c>
      <c r="R1438" t="inlineStr">
        <is>
          <t xml:space="preserve">HV </t>
        </is>
      </c>
      <c r="S1438" t="n">
        <v>11</v>
      </c>
      <c r="T1438" t="n">
        <v>11</v>
      </c>
      <c r="U1438" t="inlineStr">
        <is>
          <t>1999-04-27</t>
        </is>
      </c>
      <c r="V1438" t="inlineStr">
        <is>
          <t>1999-04-27</t>
        </is>
      </c>
      <c r="W1438" t="inlineStr">
        <is>
          <t>1993-08-09</t>
        </is>
      </c>
      <c r="X1438" t="inlineStr">
        <is>
          <t>1993-08-09</t>
        </is>
      </c>
      <c r="Y1438" t="n">
        <v>421</v>
      </c>
      <c r="Z1438" t="n">
        <v>364</v>
      </c>
      <c r="AA1438" t="n">
        <v>377</v>
      </c>
      <c r="AB1438" t="n">
        <v>3</v>
      </c>
      <c r="AC1438" t="n">
        <v>3</v>
      </c>
      <c r="AD1438" t="n">
        <v>16</v>
      </c>
      <c r="AE1438" t="n">
        <v>16</v>
      </c>
      <c r="AF1438" t="n">
        <v>3</v>
      </c>
      <c r="AG1438" t="n">
        <v>3</v>
      </c>
      <c r="AH1438" t="n">
        <v>4</v>
      </c>
      <c r="AI1438" t="n">
        <v>4</v>
      </c>
      <c r="AJ1438" t="n">
        <v>8</v>
      </c>
      <c r="AK1438" t="n">
        <v>8</v>
      </c>
      <c r="AL1438" t="n">
        <v>2</v>
      </c>
      <c r="AM1438" t="n">
        <v>2</v>
      </c>
      <c r="AN1438" t="n">
        <v>2</v>
      </c>
      <c r="AO1438" t="n">
        <v>2</v>
      </c>
      <c r="AP1438" t="inlineStr">
        <is>
          <t>No</t>
        </is>
      </c>
      <c r="AQ1438" t="inlineStr">
        <is>
          <t>No</t>
        </is>
      </c>
      <c r="AS1438">
        <f>HYPERLINK("https://creighton-primo.hosted.exlibrisgroup.com/primo-explore/search?tab=default_tab&amp;search_scope=EVERYTHING&amp;vid=01CRU&amp;lang=en_US&amp;offset=0&amp;query=any,contains,991002045139702656","Catalog Record")</f>
        <v/>
      </c>
      <c r="AT1438">
        <f>HYPERLINK("http://www.worldcat.org/oclc/26096694","WorldCat Record")</f>
        <v/>
      </c>
      <c r="AU1438" t="inlineStr">
        <is>
          <t>1061997:eng</t>
        </is>
      </c>
      <c r="AV1438" t="inlineStr">
        <is>
          <t>26096694</t>
        </is>
      </c>
      <c r="AW1438" t="inlineStr">
        <is>
          <t>991002045139702656</t>
        </is>
      </c>
      <c r="AX1438" t="inlineStr">
        <is>
          <t>991002045139702656</t>
        </is>
      </c>
      <c r="AY1438" t="inlineStr">
        <is>
          <t>2268241730002656</t>
        </is>
      </c>
      <c r="AZ1438" t="inlineStr">
        <is>
          <t>BOOK</t>
        </is>
      </c>
      <c r="BB1438" t="inlineStr">
        <is>
          <t>9780231076180</t>
        </is>
      </c>
      <c r="BC1438" t="inlineStr">
        <is>
          <t>32285001725489</t>
        </is>
      </c>
      <c r="BD1438" t="inlineStr">
        <is>
          <t>893529459</t>
        </is>
      </c>
    </row>
    <row r="1439">
      <c r="A1439" t="inlineStr">
        <is>
          <t>No</t>
        </is>
      </c>
      <c r="B1439" t="inlineStr">
        <is>
          <t>HV95 .D56 2005</t>
        </is>
      </c>
      <c r="C1439" t="inlineStr">
        <is>
          <t>0                      HV 0095000D  56          2005</t>
        </is>
      </c>
      <c r="D1439" t="inlineStr">
        <is>
          <t>Social welfare : politics and public policy / Diana M. DiNitto.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K1439" t="inlineStr">
        <is>
          <t>DiNitto, Diana M.</t>
        </is>
      </c>
      <c r="L1439" t="inlineStr">
        <is>
          <t>Boston : Pearson/Allyn and Bacon, c2005.</t>
        </is>
      </c>
      <c r="M1439" t="inlineStr">
        <is>
          <t>2005</t>
        </is>
      </c>
      <c r="N1439" t="inlineStr">
        <is>
          <t>6th ed. / with Linda K. Cummins.</t>
        </is>
      </c>
      <c r="O1439" t="inlineStr">
        <is>
          <t>eng</t>
        </is>
      </c>
      <c r="P1439" t="inlineStr">
        <is>
          <t>mau</t>
        </is>
      </c>
      <c r="R1439" t="inlineStr">
        <is>
          <t xml:space="preserve">HV </t>
        </is>
      </c>
      <c r="S1439" t="n">
        <v>2</v>
      </c>
      <c r="T1439" t="n">
        <v>2</v>
      </c>
      <c r="U1439" t="inlineStr">
        <is>
          <t>2010-01-21</t>
        </is>
      </c>
      <c r="V1439" t="inlineStr">
        <is>
          <t>2010-01-21</t>
        </is>
      </c>
      <c r="W1439" t="inlineStr">
        <is>
          <t>2005-10-20</t>
        </is>
      </c>
      <c r="X1439" t="inlineStr">
        <is>
          <t>2005-10-20</t>
        </is>
      </c>
      <c r="Y1439" t="n">
        <v>104</v>
      </c>
      <c r="Z1439" t="n">
        <v>83</v>
      </c>
      <c r="AA1439" t="n">
        <v>604</v>
      </c>
      <c r="AB1439" t="n">
        <v>1</v>
      </c>
      <c r="AC1439" t="n">
        <v>5</v>
      </c>
      <c r="AD1439" t="n">
        <v>6</v>
      </c>
      <c r="AE1439" t="n">
        <v>24</v>
      </c>
      <c r="AF1439" t="n">
        <v>2</v>
      </c>
      <c r="AG1439" t="n">
        <v>9</v>
      </c>
      <c r="AH1439" t="n">
        <v>1</v>
      </c>
      <c r="AI1439" t="n">
        <v>6</v>
      </c>
      <c r="AJ1439" t="n">
        <v>4</v>
      </c>
      <c r="AK1439" t="n">
        <v>12</v>
      </c>
      <c r="AL1439" t="n">
        <v>0</v>
      </c>
      <c r="AM1439" t="n">
        <v>3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No</t>
        </is>
      </c>
      <c r="AS1439">
        <f>HYPERLINK("https://creighton-primo.hosted.exlibrisgroup.com/primo-explore/search?tab=default_tab&amp;search_scope=EVERYTHING&amp;vid=01CRU&amp;lang=en_US&amp;offset=0&amp;query=any,contains,991004651959702656","Catalog Record")</f>
        <v/>
      </c>
      <c r="AT1439">
        <f>HYPERLINK("http://www.worldcat.org/oclc/56608485","WorldCat Record")</f>
        <v/>
      </c>
      <c r="AU1439" t="inlineStr">
        <is>
          <t>666064:eng</t>
        </is>
      </c>
      <c r="AV1439" t="inlineStr">
        <is>
          <t>56608485</t>
        </is>
      </c>
      <c r="AW1439" t="inlineStr">
        <is>
          <t>991004651959702656</t>
        </is>
      </c>
      <c r="AX1439" t="inlineStr">
        <is>
          <t>991004651959702656</t>
        </is>
      </c>
      <c r="AY1439" t="inlineStr">
        <is>
          <t>2261583670002656</t>
        </is>
      </c>
      <c r="AZ1439" t="inlineStr">
        <is>
          <t>BOOK</t>
        </is>
      </c>
      <c r="BB1439" t="inlineStr">
        <is>
          <t>9780205375998</t>
        </is>
      </c>
      <c r="BC1439" t="inlineStr">
        <is>
          <t>32285005140859</t>
        </is>
      </c>
      <c r="BD1439" t="inlineStr">
        <is>
          <t>893882710</t>
        </is>
      </c>
    </row>
    <row r="1440">
      <c r="A1440" t="inlineStr">
        <is>
          <t>No</t>
        </is>
      </c>
      <c r="B1440" t="inlineStr">
        <is>
          <t>HV95 .D58 1988</t>
        </is>
      </c>
      <c r="C1440" t="inlineStr">
        <is>
          <t>0                      HV 0095000D  58          1988</t>
        </is>
      </c>
      <c r="D1440" t="inlineStr">
        <is>
          <t>Divided opportunities : minorities, poverty, and social policy / edited by Gary D. Sandefur and Marta Tienda.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L1440" t="inlineStr">
        <is>
          <t>New York : Plenum Press, c1988.</t>
        </is>
      </c>
      <c r="M1440" t="inlineStr">
        <is>
          <t>1988</t>
        </is>
      </c>
      <c r="O1440" t="inlineStr">
        <is>
          <t>eng</t>
        </is>
      </c>
      <c r="P1440" t="inlineStr">
        <is>
          <t>nyu</t>
        </is>
      </c>
      <c r="Q1440" t="inlineStr">
        <is>
          <t>Environment, development, and public policy. Public policy and social services</t>
        </is>
      </c>
      <c r="R1440" t="inlineStr">
        <is>
          <t xml:space="preserve">HV </t>
        </is>
      </c>
      <c r="S1440" t="n">
        <v>7</v>
      </c>
      <c r="T1440" t="n">
        <v>7</v>
      </c>
      <c r="U1440" t="inlineStr">
        <is>
          <t>2002-08-23</t>
        </is>
      </c>
      <c r="V1440" t="inlineStr">
        <is>
          <t>2002-08-23</t>
        </is>
      </c>
      <c r="W1440" t="inlineStr">
        <is>
          <t>1990-07-20</t>
        </is>
      </c>
      <c r="X1440" t="inlineStr">
        <is>
          <t>1990-07-20</t>
        </is>
      </c>
      <c r="Y1440" t="n">
        <v>374</v>
      </c>
      <c r="Z1440" t="n">
        <v>311</v>
      </c>
      <c r="AA1440" t="n">
        <v>312</v>
      </c>
      <c r="AB1440" t="n">
        <v>2</v>
      </c>
      <c r="AC1440" t="n">
        <v>2</v>
      </c>
      <c r="AD1440" t="n">
        <v>12</v>
      </c>
      <c r="AE1440" t="n">
        <v>12</v>
      </c>
      <c r="AF1440" t="n">
        <v>1</v>
      </c>
      <c r="AG1440" t="n">
        <v>1</v>
      </c>
      <c r="AH1440" t="n">
        <v>4</v>
      </c>
      <c r="AI1440" t="n">
        <v>4</v>
      </c>
      <c r="AJ1440" t="n">
        <v>9</v>
      </c>
      <c r="AK1440" t="n">
        <v>9</v>
      </c>
      <c r="AL1440" t="n">
        <v>1</v>
      </c>
      <c r="AM1440" t="n">
        <v>1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No</t>
        </is>
      </c>
      <c r="AS1440">
        <f>HYPERLINK("https://creighton-primo.hosted.exlibrisgroup.com/primo-explore/search?tab=default_tab&amp;search_scope=EVERYTHING&amp;vid=01CRU&amp;lang=en_US&amp;offset=0&amp;query=any,contains,991001288289702656","Catalog Record")</f>
        <v/>
      </c>
      <c r="AT1440">
        <f>HYPERLINK("http://www.worldcat.org/oclc/17981212","WorldCat Record")</f>
        <v/>
      </c>
      <c r="AU1440" t="inlineStr">
        <is>
          <t>836885257:eng</t>
        </is>
      </c>
      <c r="AV1440" t="inlineStr">
        <is>
          <t>17981212</t>
        </is>
      </c>
      <c r="AW1440" t="inlineStr">
        <is>
          <t>991001288289702656</t>
        </is>
      </c>
      <c r="AX1440" t="inlineStr">
        <is>
          <t>991001288289702656</t>
        </is>
      </c>
      <c r="AY1440" t="inlineStr">
        <is>
          <t>2257524950002656</t>
        </is>
      </c>
      <c r="AZ1440" t="inlineStr">
        <is>
          <t>BOOK</t>
        </is>
      </c>
      <c r="BB1440" t="inlineStr">
        <is>
          <t>9780306428760</t>
        </is>
      </c>
      <c r="BC1440" t="inlineStr">
        <is>
          <t>32285000246768</t>
        </is>
      </c>
      <c r="BD1440" t="inlineStr">
        <is>
          <t>893408020</t>
        </is>
      </c>
    </row>
    <row r="1441">
      <c r="A1441" t="inlineStr">
        <is>
          <t>No</t>
        </is>
      </c>
      <c r="B1441" t="inlineStr">
        <is>
          <t>HV95 .D6</t>
        </is>
      </c>
      <c r="C1441" t="inlineStr">
        <is>
          <t>0                      HV 0095000D  6</t>
        </is>
      </c>
      <c r="D1441" t="inlineStr">
        <is>
          <t>Politics, economics, and public welfare / Andrew W. Dobelstein.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Yes</t>
        </is>
      </c>
      <c r="J1441" t="inlineStr">
        <is>
          <t>0</t>
        </is>
      </c>
      <c r="K1441" t="inlineStr">
        <is>
          <t>Dobelstein, Andrew W.</t>
        </is>
      </c>
      <c r="L1441" t="inlineStr">
        <is>
          <t>Englewood Cliffs, N.J. : Prentice-Hall, c1980.</t>
        </is>
      </c>
      <c r="M1441" t="inlineStr">
        <is>
          <t>1980</t>
        </is>
      </c>
      <c r="O1441" t="inlineStr">
        <is>
          <t>eng</t>
        </is>
      </c>
      <c r="P1441" t="inlineStr">
        <is>
          <t>nju</t>
        </is>
      </c>
      <c r="Q1441" t="inlineStr">
        <is>
          <t>Prentice-Hall series in social work practice</t>
        </is>
      </c>
      <c r="R1441" t="inlineStr">
        <is>
          <t xml:space="preserve">HV </t>
        </is>
      </c>
      <c r="S1441" t="n">
        <v>7</v>
      </c>
      <c r="T1441" t="n">
        <v>7</v>
      </c>
      <c r="U1441" t="inlineStr">
        <is>
          <t>1995-11-27</t>
        </is>
      </c>
      <c r="V1441" t="inlineStr">
        <is>
          <t>1995-11-27</t>
        </is>
      </c>
      <c r="W1441" t="inlineStr">
        <is>
          <t>1990-07-20</t>
        </is>
      </c>
      <c r="X1441" t="inlineStr">
        <is>
          <t>1990-07-20</t>
        </is>
      </c>
      <c r="Y1441" t="n">
        <v>393</v>
      </c>
      <c r="Z1441" t="n">
        <v>322</v>
      </c>
      <c r="AA1441" t="n">
        <v>416</v>
      </c>
      <c r="AB1441" t="n">
        <v>5</v>
      </c>
      <c r="AC1441" t="n">
        <v>5</v>
      </c>
      <c r="AD1441" t="n">
        <v>17</v>
      </c>
      <c r="AE1441" t="n">
        <v>18</v>
      </c>
      <c r="AF1441" t="n">
        <v>5</v>
      </c>
      <c r="AG1441" t="n">
        <v>5</v>
      </c>
      <c r="AH1441" t="n">
        <v>5</v>
      </c>
      <c r="AI1441" t="n">
        <v>6</v>
      </c>
      <c r="AJ1441" t="n">
        <v>5</v>
      </c>
      <c r="AK1441" t="n">
        <v>6</v>
      </c>
      <c r="AL1441" t="n">
        <v>4</v>
      </c>
      <c r="AM1441" t="n">
        <v>4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HYPERLINK("http://catalog.hathitrust.org/Record/000083922","HathiTrust Record")</f>
        <v/>
      </c>
      <c r="AS1441">
        <f>HYPERLINK("https://creighton-primo.hosted.exlibrisgroup.com/primo-explore/search?tab=default_tab&amp;search_scope=EVERYTHING&amp;vid=01CRU&amp;lang=en_US&amp;offset=0&amp;query=any,contains,991004776809702656","Catalog Record")</f>
        <v/>
      </c>
      <c r="AT1441">
        <f>HYPERLINK("http://www.worldcat.org/oclc/5101450","WorldCat Record")</f>
        <v/>
      </c>
      <c r="AU1441" t="inlineStr">
        <is>
          <t>4417634:eng</t>
        </is>
      </c>
      <c r="AV1441" t="inlineStr">
        <is>
          <t>5101450</t>
        </is>
      </c>
      <c r="AW1441" t="inlineStr">
        <is>
          <t>991004776809702656</t>
        </is>
      </c>
      <c r="AX1441" t="inlineStr">
        <is>
          <t>991004776809702656</t>
        </is>
      </c>
      <c r="AY1441" t="inlineStr">
        <is>
          <t>2259206780002656</t>
        </is>
      </c>
      <c r="AZ1441" t="inlineStr">
        <is>
          <t>BOOK</t>
        </is>
      </c>
      <c r="BB1441" t="inlineStr">
        <is>
          <t>9780136839798</t>
        </is>
      </c>
      <c r="BC1441" t="inlineStr">
        <is>
          <t>32285000246776</t>
        </is>
      </c>
      <c r="BD1441" t="inlineStr">
        <is>
          <t>893513666</t>
        </is>
      </c>
    </row>
    <row r="1442">
      <c r="A1442" t="inlineStr">
        <is>
          <t>No</t>
        </is>
      </c>
      <c r="B1442" t="inlineStr">
        <is>
          <t>HV95 .D6 1986</t>
        </is>
      </c>
      <c r="C1442" t="inlineStr">
        <is>
          <t>0                      HV 0095000D  6           1986</t>
        </is>
      </c>
      <c r="D1442" t="inlineStr">
        <is>
          <t>Politics, economics, and public welfare / Andrew W. Dobelstein.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Yes</t>
        </is>
      </c>
      <c r="J1442" t="inlineStr">
        <is>
          <t>0</t>
        </is>
      </c>
      <c r="K1442" t="inlineStr">
        <is>
          <t>Dobelstein, Andrew W.</t>
        </is>
      </c>
      <c r="L1442" t="inlineStr">
        <is>
          <t>Englewood Cliffs, N.J. : Prentice-Hall, c1986.</t>
        </is>
      </c>
      <c r="M1442" t="inlineStr">
        <is>
          <t>1986</t>
        </is>
      </c>
      <c r="N1442" t="inlineStr">
        <is>
          <t>2nd ed.</t>
        </is>
      </c>
      <c r="O1442" t="inlineStr">
        <is>
          <t>eng</t>
        </is>
      </c>
      <c r="P1442" t="inlineStr">
        <is>
          <t>nju</t>
        </is>
      </c>
      <c r="Q1442" t="inlineStr">
        <is>
          <t>Prentice-Hall series in social work practice</t>
        </is>
      </c>
      <c r="R1442" t="inlineStr">
        <is>
          <t xml:space="preserve">HV </t>
        </is>
      </c>
      <c r="S1442" t="n">
        <v>10</v>
      </c>
      <c r="T1442" t="n">
        <v>10</v>
      </c>
      <c r="U1442" t="inlineStr">
        <is>
          <t>2005-11-04</t>
        </is>
      </c>
      <c r="V1442" t="inlineStr">
        <is>
          <t>2005-11-04</t>
        </is>
      </c>
      <c r="W1442" t="inlineStr">
        <is>
          <t>1990-07-20</t>
        </is>
      </c>
      <c r="X1442" t="inlineStr">
        <is>
          <t>1990-07-20</t>
        </is>
      </c>
      <c r="Y1442" t="n">
        <v>219</v>
      </c>
      <c r="Z1442" t="n">
        <v>194</v>
      </c>
      <c r="AA1442" t="n">
        <v>416</v>
      </c>
      <c r="AB1442" t="n">
        <v>1</v>
      </c>
      <c r="AC1442" t="n">
        <v>5</v>
      </c>
      <c r="AD1442" t="n">
        <v>5</v>
      </c>
      <c r="AE1442" t="n">
        <v>18</v>
      </c>
      <c r="AF1442" t="n">
        <v>1</v>
      </c>
      <c r="AG1442" t="n">
        <v>5</v>
      </c>
      <c r="AH1442" t="n">
        <v>3</v>
      </c>
      <c r="AI1442" t="n">
        <v>6</v>
      </c>
      <c r="AJ1442" t="n">
        <v>3</v>
      </c>
      <c r="AK1442" t="n">
        <v>6</v>
      </c>
      <c r="AL1442" t="n">
        <v>0</v>
      </c>
      <c r="AM1442" t="n">
        <v>4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No</t>
        </is>
      </c>
      <c r="AS1442">
        <f>HYPERLINK("https://creighton-primo.hosted.exlibrisgroup.com/primo-explore/search?tab=default_tab&amp;search_scope=EVERYTHING&amp;vid=01CRU&amp;lang=en_US&amp;offset=0&amp;query=any,contains,991000605049702656","Catalog Record")</f>
        <v/>
      </c>
      <c r="AT1442">
        <f>HYPERLINK("http://www.worldcat.org/oclc/11865887","WorldCat Record")</f>
        <v/>
      </c>
      <c r="AU1442" t="inlineStr">
        <is>
          <t>4417634:eng</t>
        </is>
      </c>
      <c r="AV1442" t="inlineStr">
        <is>
          <t>11865887</t>
        </is>
      </c>
      <c r="AW1442" t="inlineStr">
        <is>
          <t>991000605049702656</t>
        </is>
      </c>
      <c r="AX1442" t="inlineStr">
        <is>
          <t>991000605049702656</t>
        </is>
      </c>
      <c r="AY1442" t="inlineStr">
        <is>
          <t>2264513470002656</t>
        </is>
      </c>
      <c r="AZ1442" t="inlineStr">
        <is>
          <t>BOOK</t>
        </is>
      </c>
      <c r="BB1442" t="inlineStr">
        <is>
          <t>9780136841012</t>
        </is>
      </c>
      <c r="BC1442" t="inlineStr">
        <is>
          <t>32285000246784</t>
        </is>
      </c>
      <c r="BD1442" t="inlineStr">
        <is>
          <t>893508930</t>
        </is>
      </c>
    </row>
    <row r="1443">
      <c r="A1443" t="inlineStr">
        <is>
          <t>No</t>
        </is>
      </c>
      <c r="B1443" t="inlineStr">
        <is>
          <t>HV95 .D62 1990</t>
        </is>
      </c>
      <c r="C1443" t="inlineStr">
        <is>
          <t>0                      HV 0095000D  62          1990</t>
        </is>
      </c>
      <c r="D1443" t="inlineStr">
        <is>
          <t>Social welfare : policy and analysis / Andrew W. Dobelstein.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Dobelstein, Andrew W.</t>
        </is>
      </c>
      <c r="L1443" t="inlineStr">
        <is>
          <t>Chicago : Nelson-Hall Publishers, c1990.</t>
        </is>
      </c>
      <c r="M1443" t="inlineStr">
        <is>
          <t>1990</t>
        </is>
      </c>
      <c r="O1443" t="inlineStr">
        <is>
          <t>eng</t>
        </is>
      </c>
      <c r="P1443" t="inlineStr">
        <is>
          <t>ilu</t>
        </is>
      </c>
      <c r="Q1443" t="inlineStr">
        <is>
          <t>Nelson-Hall series in social welfare</t>
        </is>
      </c>
      <c r="R1443" t="inlineStr">
        <is>
          <t xml:space="preserve">HV </t>
        </is>
      </c>
      <c r="S1443" t="n">
        <v>13</v>
      </c>
      <c r="T1443" t="n">
        <v>13</v>
      </c>
      <c r="U1443" t="inlineStr">
        <is>
          <t>2007-01-15</t>
        </is>
      </c>
      <c r="V1443" t="inlineStr">
        <is>
          <t>2007-01-15</t>
        </is>
      </c>
      <c r="W1443" t="inlineStr">
        <is>
          <t>1994-04-06</t>
        </is>
      </c>
      <c r="X1443" t="inlineStr">
        <is>
          <t>1994-04-06</t>
        </is>
      </c>
      <c r="Y1443" t="n">
        <v>287</v>
      </c>
      <c r="Z1443" t="n">
        <v>254</v>
      </c>
      <c r="AA1443" t="n">
        <v>424</v>
      </c>
      <c r="AB1443" t="n">
        <v>1</v>
      </c>
      <c r="AC1443" t="n">
        <v>2</v>
      </c>
      <c r="AD1443" t="n">
        <v>8</v>
      </c>
      <c r="AE1443" t="n">
        <v>14</v>
      </c>
      <c r="AF1443" t="n">
        <v>3</v>
      </c>
      <c r="AG1443" t="n">
        <v>4</v>
      </c>
      <c r="AH1443" t="n">
        <v>1</v>
      </c>
      <c r="AI1443" t="n">
        <v>3</v>
      </c>
      <c r="AJ1443" t="n">
        <v>3</v>
      </c>
      <c r="AK1443" t="n">
        <v>6</v>
      </c>
      <c r="AL1443" t="n">
        <v>0</v>
      </c>
      <c r="AM1443" t="n">
        <v>1</v>
      </c>
      <c r="AN1443" t="n">
        <v>1</v>
      </c>
      <c r="AO1443" t="n">
        <v>1</v>
      </c>
      <c r="AP1443" t="inlineStr">
        <is>
          <t>No</t>
        </is>
      </c>
      <c r="AQ1443" t="inlineStr">
        <is>
          <t>Yes</t>
        </is>
      </c>
      <c r="AR1443">
        <f>HYPERLINK("http://catalog.hathitrust.org/Record/002437287","HathiTrust Record")</f>
        <v/>
      </c>
      <c r="AS1443">
        <f>HYPERLINK("https://creighton-primo.hosted.exlibrisgroup.com/primo-explore/search?tab=default_tab&amp;search_scope=EVERYTHING&amp;vid=01CRU&amp;lang=en_US&amp;offset=0&amp;query=any,contains,991001550389702656","Catalog Record")</f>
        <v/>
      </c>
      <c r="AT1443">
        <f>HYPERLINK("http://www.worldcat.org/oclc/20219275","WorldCat Record")</f>
        <v/>
      </c>
      <c r="AU1443" t="inlineStr">
        <is>
          <t>1030223:eng</t>
        </is>
      </c>
      <c r="AV1443" t="inlineStr">
        <is>
          <t>20219275</t>
        </is>
      </c>
      <c r="AW1443" t="inlineStr">
        <is>
          <t>991001550389702656</t>
        </is>
      </c>
      <c r="AX1443" t="inlineStr">
        <is>
          <t>991001550389702656</t>
        </is>
      </c>
      <c r="AY1443" t="inlineStr">
        <is>
          <t>2269844350002656</t>
        </is>
      </c>
      <c r="AZ1443" t="inlineStr">
        <is>
          <t>BOOK</t>
        </is>
      </c>
      <c r="BB1443" t="inlineStr">
        <is>
          <t>9780830411443</t>
        </is>
      </c>
      <c r="BC1443" t="inlineStr">
        <is>
          <t>32285001863603</t>
        </is>
      </c>
      <c r="BD1443" t="inlineStr">
        <is>
          <t>893414306</t>
        </is>
      </c>
    </row>
    <row r="1444">
      <c r="A1444" t="inlineStr">
        <is>
          <t>No</t>
        </is>
      </c>
      <c r="B1444" t="inlineStr">
        <is>
          <t>HV95 .E69 2002</t>
        </is>
      </c>
      <c r="C1444" t="inlineStr">
        <is>
          <t>0                      HV 0095000E  69          2002</t>
        </is>
      </c>
      <c r="D1444" t="inlineStr">
        <is>
          <t>American policy making : welfare as ritual / William M. Epstein.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K1444" t="inlineStr">
        <is>
          <t>Epstein, William M., 1944-</t>
        </is>
      </c>
      <c r="L1444" t="inlineStr">
        <is>
          <t>Lanham, Md. : Rowman &amp; Littlefield, c2002.</t>
        </is>
      </c>
      <c r="M1444" t="inlineStr">
        <is>
          <t>2002</t>
        </is>
      </c>
      <c r="O1444" t="inlineStr">
        <is>
          <t>eng</t>
        </is>
      </c>
      <c r="P1444" t="inlineStr">
        <is>
          <t>mdu</t>
        </is>
      </c>
      <c r="R1444" t="inlineStr">
        <is>
          <t xml:space="preserve">HV </t>
        </is>
      </c>
      <c r="S1444" t="n">
        <v>2</v>
      </c>
      <c r="T1444" t="n">
        <v>2</v>
      </c>
      <c r="U1444" t="inlineStr">
        <is>
          <t>2003-09-08</t>
        </is>
      </c>
      <c r="V1444" t="inlineStr">
        <is>
          <t>2003-09-08</t>
        </is>
      </c>
      <c r="W1444" t="inlineStr">
        <is>
          <t>2002-09-12</t>
        </is>
      </c>
      <c r="X1444" t="inlineStr">
        <is>
          <t>2002-09-12</t>
        </is>
      </c>
      <c r="Y1444" t="n">
        <v>302</v>
      </c>
      <c r="Z1444" t="n">
        <v>258</v>
      </c>
      <c r="AA1444" t="n">
        <v>261</v>
      </c>
      <c r="AB1444" t="n">
        <v>2</v>
      </c>
      <c r="AC1444" t="n">
        <v>2</v>
      </c>
      <c r="AD1444" t="n">
        <v>13</v>
      </c>
      <c r="AE1444" t="n">
        <v>13</v>
      </c>
      <c r="AF1444" t="n">
        <v>5</v>
      </c>
      <c r="AG1444" t="n">
        <v>5</v>
      </c>
      <c r="AH1444" t="n">
        <v>3</v>
      </c>
      <c r="AI1444" t="n">
        <v>3</v>
      </c>
      <c r="AJ1444" t="n">
        <v>8</v>
      </c>
      <c r="AK1444" t="n">
        <v>8</v>
      </c>
      <c r="AL1444" t="n">
        <v>1</v>
      </c>
      <c r="AM1444" t="n">
        <v>1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HYPERLINK("http://catalog.hathitrust.org/Record/004214887","HathiTrust Record")</f>
        <v/>
      </c>
      <c r="AS1444">
        <f>HYPERLINK("https://creighton-primo.hosted.exlibrisgroup.com/primo-explore/search?tab=default_tab&amp;search_scope=EVERYTHING&amp;vid=01CRU&amp;lang=en_US&amp;offset=0&amp;query=any,contains,991003888389702656","Catalog Record")</f>
        <v/>
      </c>
      <c r="AT1444">
        <f>HYPERLINK("http://www.worldcat.org/oclc/47623869","WorldCat Record")</f>
        <v/>
      </c>
      <c r="AU1444" t="inlineStr">
        <is>
          <t>36730952:eng</t>
        </is>
      </c>
      <c r="AV1444" t="inlineStr">
        <is>
          <t>47623869</t>
        </is>
      </c>
      <c r="AW1444" t="inlineStr">
        <is>
          <t>991003888389702656</t>
        </is>
      </c>
      <c r="AX1444" t="inlineStr">
        <is>
          <t>991003888389702656</t>
        </is>
      </c>
      <c r="AY1444" t="inlineStr">
        <is>
          <t>2269467210002656</t>
        </is>
      </c>
      <c r="AZ1444" t="inlineStr">
        <is>
          <t>BOOK</t>
        </is>
      </c>
      <c r="BB1444" t="inlineStr">
        <is>
          <t>9780742517325</t>
        </is>
      </c>
      <c r="BC1444" t="inlineStr">
        <is>
          <t>32285004661798</t>
        </is>
      </c>
      <c r="BD1444" t="inlineStr">
        <is>
          <t>893337091</t>
        </is>
      </c>
    </row>
    <row r="1445">
      <c r="A1445" t="inlineStr">
        <is>
          <t>No</t>
        </is>
      </c>
      <c r="B1445" t="inlineStr">
        <is>
          <t>HV95 .F58 1989</t>
        </is>
      </c>
      <c r="C1445" t="inlineStr">
        <is>
          <t>0                      HV 0095000F  58          1989</t>
        </is>
      </c>
      <c r="D1445" t="inlineStr">
        <is>
          <t>The common good : social welfare and the American future : policy recommendations of the Executive Panel / Ford Foundation Project on Social Welfare and the American Future.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K1445" t="inlineStr">
        <is>
          <t>Ford Foundation. Project on Social Welfare and the American Future. Executive Panel.</t>
        </is>
      </c>
      <c r="L1445" t="inlineStr">
        <is>
          <t>New York, N.Y. : The Foundation, 1989.</t>
        </is>
      </c>
      <c r="M1445" t="inlineStr">
        <is>
          <t>1989</t>
        </is>
      </c>
      <c r="O1445" t="inlineStr">
        <is>
          <t>eng</t>
        </is>
      </c>
      <c r="P1445" t="inlineStr">
        <is>
          <t>nyu</t>
        </is>
      </c>
      <c r="R1445" t="inlineStr">
        <is>
          <t xml:space="preserve">HV </t>
        </is>
      </c>
      <c r="S1445" t="n">
        <v>17</v>
      </c>
      <c r="T1445" t="n">
        <v>17</v>
      </c>
      <c r="U1445" t="inlineStr">
        <is>
          <t>1996-05-26</t>
        </is>
      </c>
      <c r="V1445" t="inlineStr">
        <is>
          <t>1996-05-26</t>
        </is>
      </c>
      <c r="W1445" t="inlineStr">
        <is>
          <t>1990-07-20</t>
        </is>
      </c>
      <c r="X1445" t="inlineStr">
        <is>
          <t>1990-07-20</t>
        </is>
      </c>
      <c r="Y1445" t="n">
        <v>737</v>
      </c>
      <c r="Z1445" t="n">
        <v>704</v>
      </c>
      <c r="AA1445" t="n">
        <v>712</v>
      </c>
      <c r="AB1445" t="n">
        <v>3</v>
      </c>
      <c r="AC1445" t="n">
        <v>3</v>
      </c>
      <c r="AD1445" t="n">
        <v>40</v>
      </c>
      <c r="AE1445" t="n">
        <v>40</v>
      </c>
      <c r="AF1445" t="n">
        <v>11</v>
      </c>
      <c r="AG1445" t="n">
        <v>11</v>
      </c>
      <c r="AH1445" t="n">
        <v>5</v>
      </c>
      <c r="AI1445" t="n">
        <v>5</v>
      </c>
      <c r="AJ1445" t="n">
        <v>13</v>
      </c>
      <c r="AK1445" t="n">
        <v>13</v>
      </c>
      <c r="AL1445" t="n">
        <v>2</v>
      </c>
      <c r="AM1445" t="n">
        <v>2</v>
      </c>
      <c r="AN1445" t="n">
        <v>15</v>
      </c>
      <c r="AO1445" t="n">
        <v>15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HYPERLINK("http://catalog.hathitrust.org/Record/001291180","HathiTrust Record")</f>
        <v/>
      </c>
      <c r="AS1445">
        <f>HYPERLINK("https://creighton-primo.hosted.exlibrisgroup.com/primo-explore/search?tab=default_tab&amp;search_scope=EVERYTHING&amp;vid=01CRU&amp;lang=en_US&amp;offset=0&amp;query=any,contains,991001465369702656","Catalog Record")</f>
        <v/>
      </c>
      <c r="AT1445">
        <f>HYPERLINK("http://www.worldcat.org/oclc/19509619","WorldCat Record")</f>
        <v/>
      </c>
      <c r="AU1445" t="inlineStr">
        <is>
          <t>21249509:eng</t>
        </is>
      </c>
      <c r="AV1445" t="inlineStr">
        <is>
          <t>19509619</t>
        </is>
      </c>
      <c r="AW1445" t="inlineStr">
        <is>
          <t>991001465369702656</t>
        </is>
      </c>
      <c r="AX1445" t="inlineStr">
        <is>
          <t>991001465369702656</t>
        </is>
      </c>
      <c r="AY1445" t="inlineStr">
        <is>
          <t>2269973810002656</t>
        </is>
      </c>
      <c r="AZ1445" t="inlineStr">
        <is>
          <t>BOOK</t>
        </is>
      </c>
      <c r="BB1445" t="inlineStr">
        <is>
          <t>9780916584382</t>
        </is>
      </c>
      <c r="BC1445" t="inlineStr">
        <is>
          <t>32285000246826</t>
        </is>
      </c>
      <c r="BD1445" t="inlineStr">
        <is>
          <t>893328148</t>
        </is>
      </c>
    </row>
    <row r="1446">
      <c r="A1446" t="inlineStr">
        <is>
          <t>No</t>
        </is>
      </c>
      <c r="B1446" t="inlineStr">
        <is>
          <t>HV95 .F86 1993</t>
        </is>
      </c>
      <c r="C1446" t="inlineStr">
        <is>
          <t>0                      HV 0095000F  86          1993</t>
        </is>
      </c>
      <c r="D1446" t="inlineStr">
        <is>
          <t>Tyranny of kindness : dismantling the welfare system to end poverty in America / Theresa Funiciello.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Funiciello, Theresa.</t>
        </is>
      </c>
      <c r="L1446" t="inlineStr">
        <is>
          <t>New York : Atlantic Monthly Press, c1993.</t>
        </is>
      </c>
      <c r="M1446" t="inlineStr">
        <is>
          <t>1993</t>
        </is>
      </c>
      <c r="O1446" t="inlineStr">
        <is>
          <t>eng</t>
        </is>
      </c>
      <c r="P1446" t="inlineStr">
        <is>
          <t>nyu</t>
        </is>
      </c>
      <c r="R1446" t="inlineStr">
        <is>
          <t xml:space="preserve">HV </t>
        </is>
      </c>
      <c r="S1446" t="n">
        <v>14</v>
      </c>
      <c r="T1446" t="n">
        <v>14</v>
      </c>
      <c r="U1446" t="inlineStr">
        <is>
          <t>1996-05-03</t>
        </is>
      </c>
      <c r="V1446" t="inlineStr">
        <is>
          <t>1996-05-03</t>
        </is>
      </c>
      <c r="W1446" t="inlineStr">
        <is>
          <t>1993-07-30</t>
        </is>
      </c>
      <c r="X1446" t="inlineStr">
        <is>
          <t>1993-07-30</t>
        </is>
      </c>
      <c r="Y1446" t="n">
        <v>1273</v>
      </c>
      <c r="Z1446" t="n">
        <v>1208</v>
      </c>
      <c r="AA1446" t="n">
        <v>1213</v>
      </c>
      <c r="AB1446" t="n">
        <v>9</v>
      </c>
      <c r="AC1446" t="n">
        <v>9</v>
      </c>
      <c r="AD1446" t="n">
        <v>35</v>
      </c>
      <c r="AE1446" t="n">
        <v>35</v>
      </c>
      <c r="AF1446" t="n">
        <v>9</v>
      </c>
      <c r="AG1446" t="n">
        <v>9</v>
      </c>
      <c r="AH1446" t="n">
        <v>7</v>
      </c>
      <c r="AI1446" t="n">
        <v>7</v>
      </c>
      <c r="AJ1446" t="n">
        <v>18</v>
      </c>
      <c r="AK1446" t="n">
        <v>18</v>
      </c>
      <c r="AL1446" t="n">
        <v>7</v>
      </c>
      <c r="AM1446" t="n">
        <v>7</v>
      </c>
      <c r="AN1446" t="n">
        <v>1</v>
      </c>
      <c r="AO1446" t="n">
        <v>1</v>
      </c>
      <c r="AP1446" t="inlineStr">
        <is>
          <t>No</t>
        </is>
      </c>
      <c r="AQ1446" t="inlineStr">
        <is>
          <t>No</t>
        </is>
      </c>
      <c r="AS1446">
        <f>HYPERLINK("https://creighton-primo.hosted.exlibrisgroup.com/primo-explore/search?tab=default_tab&amp;search_scope=EVERYTHING&amp;vid=01CRU&amp;lang=en_US&amp;offset=0&amp;query=any,contains,991002148709702656","Catalog Record")</f>
        <v/>
      </c>
      <c r="AT1446">
        <f>HYPERLINK("http://www.worldcat.org/oclc/27683323","WorldCat Record")</f>
        <v/>
      </c>
      <c r="AU1446" t="inlineStr">
        <is>
          <t>344570525:eng</t>
        </is>
      </c>
      <c r="AV1446" t="inlineStr">
        <is>
          <t>27683323</t>
        </is>
      </c>
      <c r="AW1446" t="inlineStr">
        <is>
          <t>991002148709702656</t>
        </is>
      </c>
      <c r="AX1446" t="inlineStr">
        <is>
          <t>991002148709702656</t>
        </is>
      </c>
      <c r="AY1446" t="inlineStr">
        <is>
          <t>2259289680002656</t>
        </is>
      </c>
      <c r="AZ1446" t="inlineStr">
        <is>
          <t>BOOK</t>
        </is>
      </c>
      <c r="BB1446" t="inlineStr">
        <is>
          <t>9780871135438</t>
        </is>
      </c>
      <c r="BC1446" t="inlineStr">
        <is>
          <t>32285001704542</t>
        </is>
      </c>
      <c r="BD1446" t="inlineStr">
        <is>
          <t>893262108</t>
        </is>
      </c>
    </row>
    <row r="1447">
      <c r="A1447" t="inlineStr">
        <is>
          <t>No</t>
        </is>
      </c>
      <c r="B1447" t="inlineStr">
        <is>
          <t>HV95 .G5 1983</t>
        </is>
      </c>
      <c r="C1447" t="inlineStr">
        <is>
          <t>0                      HV 0095000G  5           1983</t>
        </is>
      </c>
      <c r="D1447" t="inlineStr">
        <is>
          <t>Capitalism and the welfare state : dilemmas of social benevolence / Neil Gilbert.</t>
        </is>
      </c>
      <c r="F1447" t="inlineStr">
        <is>
          <t>No</t>
        </is>
      </c>
      <c r="G1447" t="inlineStr">
        <is>
          <t>1</t>
        </is>
      </c>
      <c r="H1447" t="inlineStr">
        <is>
          <t>Yes</t>
        </is>
      </c>
      <c r="I1447" t="inlineStr">
        <is>
          <t>No</t>
        </is>
      </c>
      <c r="J1447" t="inlineStr">
        <is>
          <t>0</t>
        </is>
      </c>
      <c r="K1447" t="inlineStr">
        <is>
          <t>Gilbert, Neil.</t>
        </is>
      </c>
      <c r="L1447" t="inlineStr">
        <is>
          <t>New Haven : Yale University Press, c1983.</t>
        </is>
      </c>
      <c r="M1447" t="inlineStr">
        <is>
          <t>1983</t>
        </is>
      </c>
      <c r="O1447" t="inlineStr">
        <is>
          <t>eng</t>
        </is>
      </c>
      <c r="P1447" t="inlineStr">
        <is>
          <t>ctu</t>
        </is>
      </c>
      <c r="R1447" t="inlineStr">
        <is>
          <t xml:space="preserve">HV </t>
        </is>
      </c>
      <c r="S1447" t="n">
        <v>7</v>
      </c>
      <c r="T1447" t="n">
        <v>7</v>
      </c>
      <c r="U1447" t="inlineStr">
        <is>
          <t>1998-10-07</t>
        </is>
      </c>
      <c r="V1447" t="inlineStr">
        <is>
          <t>1998-10-07</t>
        </is>
      </c>
      <c r="W1447" t="inlineStr">
        <is>
          <t>1990-07-20</t>
        </is>
      </c>
      <c r="X1447" t="inlineStr">
        <is>
          <t>1999-10-22</t>
        </is>
      </c>
      <c r="Y1447" t="n">
        <v>785</v>
      </c>
      <c r="Z1447" t="n">
        <v>616</v>
      </c>
      <c r="AA1447" t="n">
        <v>619</v>
      </c>
      <c r="AB1447" t="n">
        <v>5</v>
      </c>
      <c r="AC1447" t="n">
        <v>5</v>
      </c>
      <c r="AD1447" t="n">
        <v>37</v>
      </c>
      <c r="AE1447" t="n">
        <v>37</v>
      </c>
      <c r="AF1447" t="n">
        <v>14</v>
      </c>
      <c r="AG1447" t="n">
        <v>14</v>
      </c>
      <c r="AH1447" t="n">
        <v>11</v>
      </c>
      <c r="AI1447" t="n">
        <v>11</v>
      </c>
      <c r="AJ1447" t="n">
        <v>17</v>
      </c>
      <c r="AK1447" t="n">
        <v>17</v>
      </c>
      <c r="AL1447" t="n">
        <v>2</v>
      </c>
      <c r="AM1447" t="n">
        <v>2</v>
      </c>
      <c r="AN1447" t="n">
        <v>4</v>
      </c>
      <c r="AO1447" t="n">
        <v>4</v>
      </c>
      <c r="AP1447" t="inlineStr">
        <is>
          <t>No</t>
        </is>
      </c>
      <c r="AQ1447" t="inlineStr">
        <is>
          <t>No</t>
        </is>
      </c>
      <c r="AS1447">
        <f>HYPERLINK("https://creighton-primo.hosted.exlibrisgroup.com/primo-explore/search?tab=default_tab&amp;search_scope=EVERYTHING&amp;vid=01CRU&amp;lang=en_US&amp;offset=0&amp;query=any,contains,991001625719702656","Catalog Record")</f>
        <v/>
      </c>
      <c r="AT1447">
        <f>HYPERLINK("http://www.worldcat.org/oclc/9557397","WorldCat Record")</f>
        <v/>
      </c>
      <c r="AU1447" t="inlineStr">
        <is>
          <t>347679621:eng</t>
        </is>
      </c>
      <c r="AV1447" t="inlineStr">
        <is>
          <t>9557397</t>
        </is>
      </c>
      <c r="AW1447" t="inlineStr">
        <is>
          <t>991001625719702656</t>
        </is>
      </c>
      <c r="AX1447" t="inlineStr">
        <is>
          <t>991001625719702656</t>
        </is>
      </c>
      <c r="AY1447" t="inlineStr">
        <is>
          <t>2266582920002656</t>
        </is>
      </c>
      <c r="AZ1447" t="inlineStr">
        <is>
          <t>BOOK</t>
        </is>
      </c>
      <c r="BB1447" t="inlineStr">
        <is>
          <t>9780300031126</t>
        </is>
      </c>
      <c r="BC1447" t="inlineStr">
        <is>
          <t>32285000246800</t>
        </is>
      </c>
      <c r="BD1447" t="inlineStr">
        <is>
          <t>893516324</t>
        </is>
      </c>
    </row>
    <row r="1448">
      <c r="A1448" t="inlineStr">
        <is>
          <t>No</t>
        </is>
      </c>
      <c r="B1448" t="inlineStr">
        <is>
          <t>HV95 .H259 1991</t>
        </is>
      </c>
      <c r="C1448" t="inlineStr">
        <is>
          <t>0                      HV 0095000H  259         1991</t>
        </is>
      </c>
      <c r="D1448" t="inlineStr">
        <is>
          <t>The moral construction of poverty : welfare reform in America / Joel F. Handler, Yeheskel Hasenfeld.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Handler, Joel F.</t>
        </is>
      </c>
      <c r="L1448" t="inlineStr">
        <is>
          <t>Newbury Park : Sage Publications, c1991.</t>
        </is>
      </c>
      <c r="M1448" t="inlineStr">
        <is>
          <t>1991</t>
        </is>
      </c>
      <c r="O1448" t="inlineStr">
        <is>
          <t>eng</t>
        </is>
      </c>
      <c r="P1448" t="inlineStr">
        <is>
          <t>cau</t>
        </is>
      </c>
      <c r="R1448" t="inlineStr">
        <is>
          <t xml:space="preserve">HV </t>
        </is>
      </c>
      <c r="S1448" t="n">
        <v>10</v>
      </c>
      <c r="T1448" t="n">
        <v>10</v>
      </c>
      <c r="U1448" t="inlineStr">
        <is>
          <t>1995-11-29</t>
        </is>
      </c>
      <c r="V1448" t="inlineStr">
        <is>
          <t>1995-11-29</t>
        </is>
      </c>
      <c r="W1448" t="inlineStr">
        <is>
          <t>1992-01-21</t>
        </is>
      </c>
      <c r="X1448" t="inlineStr">
        <is>
          <t>1992-01-21</t>
        </is>
      </c>
      <c r="Y1448" t="n">
        <v>560</v>
      </c>
      <c r="Z1448" t="n">
        <v>440</v>
      </c>
      <c r="AA1448" t="n">
        <v>447</v>
      </c>
      <c r="AB1448" t="n">
        <v>3</v>
      </c>
      <c r="AC1448" t="n">
        <v>3</v>
      </c>
      <c r="AD1448" t="n">
        <v>26</v>
      </c>
      <c r="AE1448" t="n">
        <v>26</v>
      </c>
      <c r="AF1448" t="n">
        <v>6</v>
      </c>
      <c r="AG1448" t="n">
        <v>6</v>
      </c>
      <c r="AH1448" t="n">
        <v>6</v>
      </c>
      <c r="AI1448" t="n">
        <v>6</v>
      </c>
      <c r="AJ1448" t="n">
        <v>11</v>
      </c>
      <c r="AK1448" t="n">
        <v>11</v>
      </c>
      <c r="AL1448" t="n">
        <v>2</v>
      </c>
      <c r="AM1448" t="n">
        <v>2</v>
      </c>
      <c r="AN1448" t="n">
        <v>4</v>
      </c>
      <c r="AO1448" t="n">
        <v>4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HYPERLINK("http://catalog.hathitrust.org/Record/002458628","HathiTrust Record")</f>
        <v/>
      </c>
      <c r="AS1448">
        <f>HYPERLINK("https://creighton-primo.hosted.exlibrisgroup.com/primo-explore/search?tab=default_tab&amp;search_scope=EVERYTHING&amp;vid=01CRU&amp;lang=en_US&amp;offset=0&amp;query=any,contains,991001837789702656","Catalog Record")</f>
        <v/>
      </c>
      <c r="AT1448">
        <f>HYPERLINK("http://www.worldcat.org/oclc/23081937","WorldCat Record")</f>
        <v/>
      </c>
      <c r="AU1448" t="inlineStr">
        <is>
          <t>24500466:eng</t>
        </is>
      </c>
      <c r="AV1448" t="inlineStr">
        <is>
          <t>23081937</t>
        </is>
      </c>
      <c r="AW1448" t="inlineStr">
        <is>
          <t>991001837789702656</t>
        </is>
      </c>
      <c r="AX1448" t="inlineStr">
        <is>
          <t>991001837789702656</t>
        </is>
      </c>
      <c r="AY1448" t="inlineStr">
        <is>
          <t>2258805990002656</t>
        </is>
      </c>
      <c r="AZ1448" t="inlineStr">
        <is>
          <t>BOOK</t>
        </is>
      </c>
      <c r="BB1448" t="inlineStr">
        <is>
          <t>9780803941984</t>
        </is>
      </c>
      <c r="BC1448" t="inlineStr">
        <is>
          <t>32285000865021</t>
        </is>
      </c>
      <c r="BD1448" t="inlineStr">
        <is>
          <t>893872839</t>
        </is>
      </c>
    </row>
    <row r="1449">
      <c r="A1449" t="inlineStr">
        <is>
          <t>No</t>
        </is>
      </c>
      <c r="B1449" t="inlineStr">
        <is>
          <t>HV95 .H2595 1995</t>
        </is>
      </c>
      <c r="C1449" t="inlineStr">
        <is>
          <t>0                      HV 0095000H  2595        1995</t>
        </is>
      </c>
      <c r="D1449" t="inlineStr">
        <is>
          <t>The poverty of welfare reform / Joel F. Handler.</t>
        </is>
      </c>
      <c r="F1449" t="inlineStr">
        <is>
          <t>No</t>
        </is>
      </c>
      <c r="G1449" t="inlineStr">
        <is>
          <t>1</t>
        </is>
      </c>
      <c r="H1449" t="inlineStr">
        <is>
          <t>Yes</t>
        </is>
      </c>
      <c r="I1449" t="inlineStr">
        <is>
          <t>No</t>
        </is>
      </c>
      <c r="J1449" t="inlineStr">
        <is>
          <t>0</t>
        </is>
      </c>
      <c r="K1449" t="inlineStr">
        <is>
          <t>Handler, Joel F.</t>
        </is>
      </c>
      <c r="L1449" t="inlineStr">
        <is>
          <t>New Haven : Yale University Press, c1995.</t>
        </is>
      </c>
      <c r="M1449" t="inlineStr">
        <is>
          <t>1995</t>
        </is>
      </c>
      <c r="O1449" t="inlineStr">
        <is>
          <t>eng</t>
        </is>
      </c>
      <c r="P1449" t="inlineStr">
        <is>
          <t>ctu</t>
        </is>
      </c>
      <c r="R1449" t="inlineStr">
        <is>
          <t xml:space="preserve">HV </t>
        </is>
      </c>
      <c r="S1449" t="n">
        <v>11</v>
      </c>
      <c r="T1449" t="n">
        <v>12</v>
      </c>
      <c r="U1449" t="inlineStr">
        <is>
          <t>1998-05-11</t>
        </is>
      </c>
      <c r="V1449" t="inlineStr">
        <is>
          <t>2001-12-12</t>
        </is>
      </c>
      <c r="W1449" t="inlineStr">
        <is>
          <t>1996-05-06</t>
        </is>
      </c>
      <c r="X1449" t="inlineStr">
        <is>
          <t>1997-02-26</t>
        </is>
      </c>
      <c r="Y1449" t="n">
        <v>897</v>
      </c>
      <c r="Z1449" t="n">
        <v>811</v>
      </c>
      <c r="AA1449" t="n">
        <v>960</v>
      </c>
      <c r="AB1449" t="n">
        <v>6</v>
      </c>
      <c r="AC1449" t="n">
        <v>6</v>
      </c>
      <c r="AD1449" t="n">
        <v>43</v>
      </c>
      <c r="AE1449" t="n">
        <v>48</v>
      </c>
      <c r="AF1449" t="n">
        <v>14</v>
      </c>
      <c r="AG1449" t="n">
        <v>18</v>
      </c>
      <c r="AH1449" t="n">
        <v>7</v>
      </c>
      <c r="AI1449" t="n">
        <v>9</v>
      </c>
      <c r="AJ1449" t="n">
        <v>15</v>
      </c>
      <c r="AK1449" t="n">
        <v>15</v>
      </c>
      <c r="AL1449" t="n">
        <v>4</v>
      </c>
      <c r="AM1449" t="n">
        <v>4</v>
      </c>
      <c r="AN1449" t="n">
        <v>11</v>
      </c>
      <c r="AO1449" t="n">
        <v>11</v>
      </c>
      <c r="AP1449" t="inlineStr">
        <is>
          <t>No</t>
        </is>
      </c>
      <c r="AQ1449" t="inlineStr">
        <is>
          <t>No</t>
        </is>
      </c>
      <c r="AS1449">
        <f>HYPERLINK("https://creighton-primo.hosted.exlibrisgroup.com/primo-explore/search?tab=default_tab&amp;search_scope=EVERYTHING&amp;vid=01CRU&amp;lang=en_US&amp;offset=0&amp;query=any,contains,991001667279702656","Catalog Record")</f>
        <v/>
      </c>
      <c r="AT1449">
        <f>HYPERLINK("http://www.worldcat.org/oclc/32510916","WorldCat Record")</f>
        <v/>
      </c>
      <c r="AU1449" t="inlineStr">
        <is>
          <t>34274746:eng</t>
        </is>
      </c>
      <c r="AV1449" t="inlineStr">
        <is>
          <t>32510916</t>
        </is>
      </c>
      <c r="AW1449" t="inlineStr">
        <is>
          <t>991001667279702656</t>
        </is>
      </c>
      <c r="AX1449" t="inlineStr">
        <is>
          <t>991001667279702656</t>
        </is>
      </c>
      <c r="AY1449" t="inlineStr">
        <is>
          <t>2257177020002656</t>
        </is>
      </c>
      <c r="AZ1449" t="inlineStr">
        <is>
          <t>BOOK</t>
        </is>
      </c>
      <c r="BB1449" t="inlineStr">
        <is>
          <t>9780300064803</t>
        </is>
      </c>
      <c r="BC1449" t="inlineStr">
        <is>
          <t>32285002159571</t>
        </is>
      </c>
      <c r="BD1449" t="inlineStr">
        <is>
          <t>893334470</t>
        </is>
      </c>
    </row>
    <row r="1450">
      <c r="A1450" t="inlineStr">
        <is>
          <t>No</t>
        </is>
      </c>
      <c r="B1450" t="inlineStr">
        <is>
          <t>HV95 .H554 1996</t>
        </is>
      </c>
      <c r="C1450" t="inlineStr">
        <is>
          <t>0                      HV 0095000H  554         1996</t>
        </is>
      </c>
      <c r="D1450" t="inlineStr">
        <is>
          <t>Welfare reform : a reference handbook / Mary Ellen Hombs.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Hombs, Mary Ellen.</t>
        </is>
      </c>
      <c r="L1450" t="inlineStr">
        <is>
          <t>Santa Barbara, Calif. : ABC-CLIO, 1996.</t>
        </is>
      </c>
      <c r="M1450" t="inlineStr">
        <is>
          <t>1996</t>
        </is>
      </c>
      <c r="O1450" t="inlineStr">
        <is>
          <t>eng</t>
        </is>
      </c>
      <c r="P1450" t="inlineStr">
        <is>
          <t>cau</t>
        </is>
      </c>
      <c r="Q1450" t="inlineStr">
        <is>
          <t>Contemporary world issues</t>
        </is>
      </c>
      <c r="R1450" t="inlineStr">
        <is>
          <t xml:space="preserve">HV </t>
        </is>
      </c>
      <c r="S1450" t="n">
        <v>1</v>
      </c>
      <c r="T1450" t="n">
        <v>1</v>
      </c>
      <c r="U1450" t="inlineStr">
        <is>
          <t>2006-03-22</t>
        </is>
      </c>
      <c r="V1450" t="inlineStr">
        <is>
          <t>2006-03-22</t>
        </is>
      </c>
      <c r="W1450" t="inlineStr">
        <is>
          <t>1996-12-23</t>
        </is>
      </c>
      <c r="X1450" t="inlineStr">
        <is>
          <t>1996-12-23</t>
        </is>
      </c>
      <c r="Y1450" t="n">
        <v>733</v>
      </c>
      <c r="Z1450" t="n">
        <v>693</v>
      </c>
      <c r="AA1450" t="n">
        <v>1439</v>
      </c>
      <c r="AB1450" t="n">
        <v>5</v>
      </c>
      <c r="AC1450" t="n">
        <v>7</v>
      </c>
      <c r="AD1450" t="n">
        <v>27</v>
      </c>
      <c r="AE1450" t="n">
        <v>33</v>
      </c>
      <c r="AF1450" t="n">
        <v>10</v>
      </c>
      <c r="AG1450" t="n">
        <v>14</v>
      </c>
      <c r="AH1450" t="n">
        <v>5</v>
      </c>
      <c r="AI1450" t="n">
        <v>6</v>
      </c>
      <c r="AJ1450" t="n">
        <v>12</v>
      </c>
      <c r="AK1450" t="n">
        <v>14</v>
      </c>
      <c r="AL1450" t="n">
        <v>4</v>
      </c>
      <c r="AM1450" t="n">
        <v>5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Yes</t>
        </is>
      </c>
      <c r="AR1450">
        <f>HYPERLINK("http://catalog.hathitrust.org/Record/003124892","HathiTrust Record")</f>
        <v/>
      </c>
      <c r="AS1450">
        <f>HYPERLINK("https://creighton-primo.hosted.exlibrisgroup.com/primo-explore/search?tab=default_tab&amp;search_scope=EVERYTHING&amp;vid=01CRU&amp;lang=en_US&amp;offset=0&amp;query=any,contains,991002832959702656","Catalog Record")</f>
        <v/>
      </c>
      <c r="AT1450">
        <f>HYPERLINK("http://www.worldcat.org/oclc/35792351","WorldCat Record")</f>
        <v/>
      </c>
      <c r="AU1450" t="inlineStr">
        <is>
          <t>1033269:eng</t>
        </is>
      </c>
      <c r="AV1450" t="inlineStr">
        <is>
          <t>35792351</t>
        </is>
      </c>
      <c r="AW1450" t="inlineStr">
        <is>
          <t>991002832959702656</t>
        </is>
      </c>
      <c r="AX1450" t="inlineStr">
        <is>
          <t>991002832959702656</t>
        </is>
      </c>
      <c r="AY1450" t="inlineStr">
        <is>
          <t>2260899630002656</t>
        </is>
      </c>
      <c r="AZ1450" t="inlineStr">
        <is>
          <t>BOOK</t>
        </is>
      </c>
      <c r="BB1450" t="inlineStr">
        <is>
          <t>9780874368444</t>
        </is>
      </c>
      <c r="BC1450" t="inlineStr">
        <is>
          <t>32285002403151</t>
        </is>
      </c>
      <c r="BD1450" t="inlineStr">
        <is>
          <t>893622791</t>
        </is>
      </c>
    </row>
    <row r="1451">
      <c r="A1451" t="inlineStr">
        <is>
          <t>No</t>
        </is>
      </c>
      <c r="B1451" t="inlineStr">
        <is>
          <t>HV95 .H75 1992</t>
        </is>
      </c>
      <c r="C1451" t="inlineStr">
        <is>
          <t>0                      HV 0095000H  75          1992</t>
        </is>
      </c>
      <c r="D1451" t="inlineStr">
        <is>
          <t>Human services as complex organizations / edited by Yeheskel Hasenfeld ; [distinguished contributors, Andrew Abbott ... et al.].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L1451" t="inlineStr">
        <is>
          <t>Newbury Park, Calif. : Sage Publications, c1992.</t>
        </is>
      </c>
      <c r="M1451" t="inlineStr">
        <is>
          <t>1992</t>
        </is>
      </c>
      <c r="O1451" t="inlineStr">
        <is>
          <t>eng</t>
        </is>
      </c>
      <c r="P1451" t="inlineStr">
        <is>
          <t>cau</t>
        </is>
      </c>
      <c r="R1451" t="inlineStr">
        <is>
          <t xml:space="preserve">HV </t>
        </is>
      </c>
      <c r="S1451" t="n">
        <v>12</v>
      </c>
      <c r="T1451" t="n">
        <v>12</v>
      </c>
      <c r="U1451" t="inlineStr">
        <is>
          <t>2006-12-14</t>
        </is>
      </c>
      <c r="V1451" t="inlineStr">
        <is>
          <t>2006-12-14</t>
        </is>
      </c>
      <c r="W1451" t="inlineStr">
        <is>
          <t>1993-03-04</t>
        </is>
      </c>
      <c r="X1451" t="inlineStr">
        <is>
          <t>1993-03-04</t>
        </is>
      </c>
      <c r="Y1451" t="n">
        <v>494</v>
      </c>
      <c r="Z1451" t="n">
        <v>370</v>
      </c>
      <c r="AA1451" t="n">
        <v>430</v>
      </c>
      <c r="AB1451" t="n">
        <v>1</v>
      </c>
      <c r="AC1451" t="n">
        <v>2</v>
      </c>
      <c r="AD1451" t="n">
        <v>21</v>
      </c>
      <c r="AE1451" t="n">
        <v>23</v>
      </c>
      <c r="AF1451" t="n">
        <v>9</v>
      </c>
      <c r="AG1451" t="n">
        <v>9</v>
      </c>
      <c r="AH1451" t="n">
        <v>6</v>
      </c>
      <c r="AI1451" t="n">
        <v>7</v>
      </c>
      <c r="AJ1451" t="n">
        <v>12</v>
      </c>
      <c r="AK1451" t="n">
        <v>13</v>
      </c>
      <c r="AL1451" t="n">
        <v>0</v>
      </c>
      <c r="AM1451" t="n">
        <v>1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HYPERLINK("http://catalog.hathitrust.org/Record/002645085","HathiTrust Record")</f>
        <v/>
      </c>
      <c r="AS1451">
        <f>HYPERLINK("https://creighton-primo.hosted.exlibrisgroup.com/primo-explore/search?tab=default_tab&amp;search_scope=EVERYTHING&amp;vid=01CRU&amp;lang=en_US&amp;offset=0&amp;query=any,contains,991001987049702656","Catalog Record")</f>
        <v/>
      </c>
      <c r="AT1451">
        <f>HYPERLINK("http://www.worldcat.org/oclc/25246120","WorldCat Record")</f>
        <v/>
      </c>
      <c r="AU1451" t="inlineStr">
        <is>
          <t>3873176787:eng</t>
        </is>
      </c>
      <c r="AV1451" t="inlineStr">
        <is>
          <t>25246120</t>
        </is>
      </c>
      <c r="AW1451" t="inlineStr">
        <is>
          <t>991001987049702656</t>
        </is>
      </c>
      <c r="AX1451" t="inlineStr">
        <is>
          <t>991001987049702656</t>
        </is>
      </c>
      <c r="AY1451" t="inlineStr">
        <is>
          <t>2256330130002656</t>
        </is>
      </c>
      <c r="AZ1451" t="inlineStr">
        <is>
          <t>BOOK</t>
        </is>
      </c>
      <c r="BB1451" t="inlineStr">
        <is>
          <t>9780803940642</t>
        </is>
      </c>
      <c r="BC1451" t="inlineStr">
        <is>
          <t>32285001496891</t>
        </is>
      </c>
      <c r="BD1451" t="inlineStr">
        <is>
          <t>893497588</t>
        </is>
      </c>
    </row>
    <row r="1452">
      <c r="A1452" t="inlineStr">
        <is>
          <t>No</t>
        </is>
      </c>
      <c r="B1452" t="inlineStr">
        <is>
          <t>HV95 .I46 2005</t>
        </is>
      </c>
      <c r="C1452" t="inlineStr">
        <is>
          <t>0                      HV 0095000I  46          2005</t>
        </is>
      </c>
      <c r="D1452" t="inlineStr">
        <is>
          <t>The impact of welfare reform : balancing safety nets and behavior modification / Christopher R. Larrison, Michael Sullivan, editors.</t>
        </is>
      </c>
      <c r="F1452" t="inlineStr">
        <is>
          <t>No</t>
        </is>
      </c>
      <c r="G1452" t="inlineStr">
        <is>
          <t>1</t>
        </is>
      </c>
      <c r="H1452" t="inlineStr">
        <is>
          <t>No</t>
        </is>
      </c>
      <c r="I1452" t="inlineStr">
        <is>
          <t>No</t>
        </is>
      </c>
      <c r="J1452" t="inlineStr">
        <is>
          <t>0</t>
        </is>
      </c>
      <c r="L1452" t="inlineStr">
        <is>
          <t>New York : Haworth Social Work Practice Press, c2005.</t>
        </is>
      </c>
      <c r="M1452" t="inlineStr">
        <is>
          <t>2005</t>
        </is>
      </c>
      <c r="O1452" t="inlineStr">
        <is>
          <t>eng</t>
        </is>
      </c>
      <c r="P1452" t="inlineStr">
        <is>
          <t>nyu</t>
        </is>
      </c>
      <c r="R1452" t="inlineStr">
        <is>
          <t xml:space="preserve">HV </t>
        </is>
      </c>
      <c r="S1452" t="n">
        <v>3</v>
      </c>
      <c r="T1452" t="n">
        <v>3</v>
      </c>
      <c r="U1452" t="inlineStr">
        <is>
          <t>2008-04-10</t>
        </is>
      </c>
      <c r="V1452" t="inlineStr">
        <is>
          <t>2008-04-10</t>
        </is>
      </c>
      <c r="W1452" t="inlineStr">
        <is>
          <t>2006-10-10</t>
        </is>
      </c>
      <c r="X1452" t="inlineStr">
        <is>
          <t>2006-10-10</t>
        </is>
      </c>
      <c r="Y1452" t="n">
        <v>111</v>
      </c>
      <c r="Z1452" t="n">
        <v>87</v>
      </c>
      <c r="AA1452" t="n">
        <v>109</v>
      </c>
      <c r="AB1452" t="n">
        <v>1</v>
      </c>
      <c r="AC1452" t="n">
        <v>1</v>
      </c>
      <c r="AD1452" t="n">
        <v>3</v>
      </c>
      <c r="AE1452" t="n">
        <v>3</v>
      </c>
      <c r="AF1452" t="n">
        <v>0</v>
      </c>
      <c r="AG1452" t="n">
        <v>0</v>
      </c>
      <c r="AH1452" t="n">
        <v>1</v>
      </c>
      <c r="AI1452" t="n">
        <v>1</v>
      </c>
      <c r="AJ1452" t="n">
        <v>3</v>
      </c>
      <c r="AK1452" t="n">
        <v>3</v>
      </c>
      <c r="AL1452" t="n">
        <v>0</v>
      </c>
      <c r="AM1452" t="n">
        <v>0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No</t>
        </is>
      </c>
      <c r="AS1452">
        <f>HYPERLINK("https://creighton-primo.hosted.exlibrisgroup.com/primo-explore/search?tab=default_tab&amp;search_scope=EVERYTHING&amp;vid=01CRU&amp;lang=en_US&amp;offset=0&amp;query=any,contains,991004924479702656","Catalog Record")</f>
        <v/>
      </c>
      <c r="AT1452">
        <f>HYPERLINK("http://www.worldcat.org/oclc/61687595","WorldCat Record")</f>
        <v/>
      </c>
      <c r="AU1452" t="inlineStr">
        <is>
          <t>375424006:eng</t>
        </is>
      </c>
      <c r="AV1452" t="inlineStr">
        <is>
          <t>61687595</t>
        </is>
      </c>
      <c r="AW1452" t="inlineStr">
        <is>
          <t>991004924479702656</t>
        </is>
      </c>
      <c r="AX1452" t="inlineStr">
        <is>
          <t>991004924479702656</t>
        </is>
      </c>
      <c r="AY1452" t="inlineStr">
        <is>
          <t>2262971770002656</t>
        </is>
      </c>
      <c r="AZ1452" t="inlineStr">
        <is>
          <t>BOOK</t>
        </is>
      </c>
      <c r="BB1452" t="inlineStr">
        <is>
          <t>9780789031594</t>
        </is>
      </c>
      <c r="BC1452" t="inlineStr">
        <is>
          <t>32285005228050</t>
        </is>
      </c>
      <c r="BD1452" t="inlineStr">
        <is>
          <t>893789242</t>
        </is>
      </c>
    </row>
    <row r="1453">
      <c r="A1453" t="inlineStr">
        <is>
          <t>No</t>
        </is>
      </c>
      <c r="B1453" t="inlineStr">
        <is>
          <t>HV95 .J64 1985</t>
        </is>
      </c>
      <c r="C1453" t="inlineStr">
        <is>
          <t>0                      HV 0095000J  64          1985</t>
        </is>
      </c>
      <c r="D1453" t="inlineStr">
        <is>
          <t>By the few, for the few : the Reagan welfare legacy / Tom Joe, Cheryl Rogers.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K1453" t="inlineStr">
        <is>
          <t>Joe, Tom.</t>
        </is>
      </c>
      <c r="L1453" t="inlineStr">
        <is>
          <t>Lexington, Mass. : Lexington Books, c1985.</t>
        </is>
      </c>
      <c r="M1453" t="inlineStr">
        <is>
          <t>1985</t>
        </is>
      </c>
      <c r="O1453" t="inlineStr">
        <is>
          <t>eng</t>
        </is>
      </c>
      <c r="P1453" t="inlineStr">
        <is>
          <t>mau</t>
        </is>
      </c>
      <c r="R1453" t="inlineStr">
        <is>
          <t xml:space="preserve">HV </t>
        </is>
      </c>
      <c r="S1453" t="n">
        <v>6</v>
      </c>
      <c r="T1453" t="n">
        <v>6</v>
      </c>
      <c r="U1453" t="inlineStr">
        <is>
          <t>1995-11-27</t>
        </is>
      </c>
      <c r="V1453" t="inlineStr">
        <is>
          <t>1995-11-27</t>
        </is>
      </c>
      <c r="W1453" t="inlineStr">
        <is>
          <t>1990-07-20</t>
        </is>
      </c>
      <c r="X1453" t="inlineStr">
        <is>
          <t>1990-07-20</t>
        </is>
      </c>
      <c r="Y1453" t="n">
        <v>679</v>
      </c>
      <c r="Z1453" t="n">
        <v>625</v>
      </c>
      <c r="AA1453" t="n">
        <v>627</v>
      </c>
      <c r="AB1453" t="n">
        <v>4</v>
      </c>
      <c r="AC1453" t="n">
        <v>4</v>
      </c>
      <c r="AD1453" t="n">
        <v>24</v>
      </c>
      <c r="AE1453" t="n">
        <v>24</v>
      </c>
      <c r="AF1453" t="n">
        <v>9</v>
      </c>
      <c r="AG1453" t="n">
        <v>9</v>
      </c>
      <c r="AH1453" t="n">
        <v>5</v>
      </c>
      <c r="AI1453" t="n">
        <v>5</v>
      </c>
      <c r="AJ1453" t="n">
        <v>15</v>
      </c>
      <c r="AK1453" t="n">
        <v>15</v>
      </c>
      <c r="AL1453" t="n">
        <v>3</v>
      </c>
      <c r="AM1453" t="n">
        <v>3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HYPERLINK("http://catalog.hathitrust.org/Record/000574455","HathiTrust Record")</f>
        <v/>
      </c>
      <c r="AS1453">
        <f>HYPERLINK("https://creighton-primo.hosted.exlibrisgroup.com/primo-explore/search?tab=default_tab&amp;search_scope=EVERYTHING&amp;vid=01CRU&amp;lang=en_US&amp;offset=0&amp;query=any,contains,991000631259702656","Catalog Record")</f>
        <v/>
      </c>
      <c r="AT1453">
        <f>HYPERLINK("http://www.worldcat.org/oclc/12052556","WorldCat Record")</f>
        <v/>
      </c>
      <c r="AU1453" t="inlineStr">
        <is>
          <t>429299695:eng</t>
        </is>
      </c>
      <c r="AV1453" t="inlineStr">
        <is>
          <t>12052556</t>
        </is>
      </c>
      <c r="AW1453" t="inlineStr">
        <is>
          <t>991000631259702656</t>
        </is>
      </c>
      <c r="AX1453" t="inlineStr">
        <is>
          <t>991000631259702656</t>
        </is>
      </c>
      <c r="AY1453" t="inlineStr">
        <is>
          <t>2258276510002656</t>
        </is>
      </c>
      <c r="AZ1453" t="inlineStr">
        <is>
          <t>BOOK</t>
        </is>
      </c>
      <c r="BB1453" t="inlineStr">
        <is>
          <t>9780669101676</t>
        </is>
      </c>
      <c r="BC1453" t="inlineStr">
        <is>
          <t>32285000246842</t>
        </is>
      </c>
      <c r="BD1453" t="inlineStr">
        <is>
          <t>893802947</t>
        </is>
      </c>
    </row>
    <row r="1454">
      <c r="A1454" t="inlineStr">
        <is>
          <t>No</t>
        </is>
      </c>
      <c r="B1454" t="inlineStr">
        <is>
          <t>HV95 .K428 1999</t>
        </is>
      </c>
      <c r="C1454" t="inlineStr">
        <is>
          <t>0                      HV 0095000K  428         1999</t>
        </is>
      </c>
      <c r="D1454" t="inlineStr">
        <is>
          <t>Designing and managing programs : an effectiveness-based approach / Peter M. Kettner, Robert M. Moroney, and Lawrence L. Martin.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K1454" t="inlineStr">
        <is>
          <t>Kettner, Peter M., 1936-</t>
        </is>
      </c>
      <c r="L1454" t="inlineStr">
        <is>
          <t>Thousand Oaks, Calif. : Sage Publications, c1999.</t>
        </is>
      </c>
      <c r="M1454" t="inlineStr">
        <is>
          <t>1999</t>
        </is>
      </c>
      <c r="N1454" t="inlineStr">
        <is>
          <t>2nd ed.</t>
        </is>
      </c>
      <c r="O1454" t="inlineStr">
        <is>
          <t>eng</t>
        </is>
      </c>
      <c r="P1454" t="inlineStr">
        <is>
          <t>cau</t>
        </is>
      </c>
      <c r="Q1454" t="inlineStr">
        <is>
          <t>Sage sourcebooks for the human services ; v. 11</t>
        </is>
      </c>
      <c r="R1454" t="inlineStr">
        <is>
          <t xml:space="preserve">HV </t>
        </is>
      </c>
      <c r="S1454" t="n">
        <v>2</v>
      </c>
      <c r="T1454" t="n">
        <v>2</v>
      </c>
      <c r="U1454" t="inlineStr">
        <is>
          <t>2008-04-15</t>
        </is>
      </c>
      <c r="V1454" t="inlineStr">
        <is>
          <t>2008-04-15</t>
        </is>
      </c>
      <c r="W1454" t="inlineStr">
        <is>
          <t>2000-12-13</t>
        </is>
      </c>
      <c r="X1454" t="inlineStr">
        <is>
          <t>2000-12-13</t>
        </is>
      </c>
      <c r="Y1454" t="n">
        <v>320</v>
      </c>
      <c r="Z1454" t="n">
        <v>248</v>
      </c>
      <c r="AA1454" t="n">
        <v>527</v>
      </c>
      <c r="AB1454" t="n">
        <v>3</v>
      </c>
      <c r="AC1454" t="n">
        <v>4</v>
      </c>
      <c r="AD1454" t="n">
        <v>11</v>
      </c>
      <c r="AE1454" t="n">
        <v>23</v>
      </c>
      <c r="AF1454" t="n">
        <v>4</v>
      </c>
      <c r="AG1454" t="n">
        <v>9</v>
      </c>
      <c r="AH1454" t="n">
        <v>1</v>
      </c>
      <c r="AI1454" t="n">
        <v>4</v>
      </c>
      <c r="AJ1454" t="n">
        <v>7</v>
      </c>
      <c r="AK1454" t="n">
        <v>13</v>
      </c>
      <c r="AL1454" t="n">
        <v>2</v>
      </c>
      <c r="AM1454" t="n">
        <v>3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HYPERLINK("http://catalog.hathitrust.org/Record/004017579","HathiTrust Record")</f>
        <v/>
      </c>
      <c r="AS1454">
        <f>HYPERLINK("https://creighton-primo.hosted.exlibrisgroup.com/primo-explore/search?tab=default_tab&amp;search_scope=EVERYTHING&amp;vid=01CRU&amp;lang=en_US&amp;offset=0&amp;query=any,contains,991003330159702656","Catalog Record")</f>
        <v/>
      </c>
      <c r="AT1454">
        <f>HYPERLINK("http://www.worldcat.org/oclc/39539414","WorldCat Record")</f>
        <v/>
      </c>
      <c r="AU1454" t="inlineStr">
        <is>
          <t>1089655:eng</t>
        </is>
      </c>
      <c r="AV1454" t="inlineStr">
        <is>
          <t>39539414</t>
        </is>
      </c>
      <c r="AW1454" t="inlineStr">
        <is>
          <t>991003330159702656</t>
        </is>
      </c>
      <c r="AX1454" t="inlineStr">
        <is>
          <t>991003330159702656</t>
        </is>
      </c>
      <c r="AY1454" t="inlineStr">
        <is>
          <t>2259946410002656</t>
        </is>
      </c>
      <c r="AZ1454" t="inlineStr">
        <is>
          <t>BOOK</t>
        </is>
      </c>
      <c r="BB1454" t="inlineStr">
        <is>
          <t>9780761915485</t>
        </is>
      </c>
      <c r="BC1454" t="inlineStr">
        <is>
          <t>32285004276662</t>
        </is>
      </c>
      <c r="BD1454" t="inlineStr">
        <is>
          <t>893799610</t>
        </is>
      </c>
    </row>
    <row r="1455">
      <c r="A1455" t="inlineStr">
        <is>
          <t>No</t>
        </is>
      </c>
      <c r="B1455" t="inlineStr">
        <is>
          <t>HV95 .L46 1982</t>
        </is>
      </c>
      <c r="C1455" t="inlineStr">
        <is>
          <t>0                      HV 0095000L  46          1982</t>
        </is>
      </c>
      <c r="D1455" t="inlineStr">
        <is>
          <t>Deinstitutionalization and the welfare state / Paul Lerman.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Lerman, Paul, 1926-</t>
        </is>
      </c>
      <c r="L1455" t="inlineStr">
        <is>
          <t>New Brunswick, N.J. : Rutgers University Press, c1982.</t>
        </is>
      </c>
      <c r="M1455" t="inlineStr">
        <is>
          <t>1982</t>
        </is>
      </c>
      <c r="O1455" t="inlineStr">
        <is>
          <t>eng</t>
        </is>
      </c>
      <c r="P1455" t="inlineStr">
        <is>
          <t>nju</t>
        </is>
      </c>
      <c r="R1455" t="inlineStr">
        <is>
          <t xml:space="preserve">HV </t>
        </is>
      </c>
      <c r="S1455" t="n">
        <v>8</v>
      </c>
      <c r="T1455" t="n">
        <v>8</v>
      </c>
      <c r="U1455" t="inlineStr">
        <is>
          <t>2002-11-18</t>
        </is>
      </c>
      <c r="V1455" t="inlineStr">
        <is>
          <t>2002-11-18</t>
        </is>
      </c>
      <c r="W1455" t="inlineStr">
        <is>
          <t>1990-07-20</t>
        </is>
      </c>
      <c r="X1455" t="inlineStr">
        <is>
          <t>1990-07-20</t>
        </is>
      </c>
      <c r="Y1455" t="n">
        <v>528</v>
      </c>
      <c r="Z1455" t="n">
        <v>464</v>
      </c>
      <c r="AA1455" t="n">
        <v>513</v>
      </c>
      <c r="AB1455" t="n">
        <v>5</v>
      </c>
      <c r="AC1455" t="n">
        <v>6</v>
      </c>
      <c r="AD1455" t="n">
        <v>18</v>
      </c>
      <c r="AE1455" t="n">
        <v>22</v>
      </c>
      <c r="AF1455" t="n">
        <v>5</v>
      </c>
      <c r="AG1455" t="n">
        <v>6</v>
      </c>
      <c r="AH1455" t="n">
        <v>4</v>
      </c>
      <c r="AI1455" t="n">
        <v>5</v>
      </c>
      <c r="AJ1455" t="n">
        <v>9</v>
      </c>
      <c r="AK1455" t="n">
        <v>11</v>
      </c>
      <c r="AL1455" t="n">
        <v>4</v>
      </c>
      <c r="AM1455" t="n">
        <v>5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HYPERLINK("http://catalog.hathitrust.org/Record/000765420","HathiTrust Record")</f>
        <v/>
      </c>
      <c r="AS1455">
        <f>HYPERLINK("https://creighton-primo.hosted.exlibrisgroup.com/primo-explore/search?tab=default_tab&amp;search_scope=EVERYTHING&amp;vid=01CRU&amp;lang=en_US&amp;offset=0&amp;query=any,contains,991005123879702656","Catalog Record")</f>
        <v/>
      </c>
      <c r="AT1455">
        <f>HYPERLINK("http://www.worldcat.org/oclc/7551447","WorldCat Record")</f>
        <v/>
      </c>
      <c r="AU1455" t="inlineStr">
        <is>
          <t>4237067:eng</t>
        </is>
      </c>
      <c r="AV1455" t="inlineStr">
        <is>
          <t>7551447</t>
        </is>
      </c>
      <c r="AW1455" t="inlineStr">
        <is>
          <t>991005123879702656</t>
        </is>
      </c>
      <c r="AX1455" t="inlineStr">
        <is>
          <t>991005123879702656</t>
        </is>
      </c>
      <c r="AY1455" t="inlineStr">
        <is>
          <t>2266078130002656</t>
        </is>
      </c>
      <c r="AZ1455" t="inlineStr">
        <is>
          <t>BOOK</t>
        </is>
      </c>
      <c r="BB1455" t="inlineStr">
        <is>
          <t>9780813509341</t>
        </is>
      </c>
      <c r="BC1455" t="inlineStr">
        <is>
          <t>32285000246859</t>
        </is>
      </c>
      <c r="BD1455" t="inlineStr">
        <is>
          <t>893501356</t>
        </is>
      </c>
    </row>
    <row r="1456">
      <c r="A1456" t="inlineStr">
        <is>
          <t>No</t>
        </is>
      </c>
      <c r="B1456" t="inlineStr">
        <is>
          <t>HV95 .L915 1981</t>
        </is>
      </c>
      <c r="C1456" t="inlineStr">
        <is>
          <t>0                      HV 0095000L  915         1981</t>
        </is>
      </c>
      <c r="D1456" t="inlineStr">
        <is>
          <t>The President as policymaker : Jimmy Carter and welfare reform / Laurence E. Lynn, Jr. and David deF. Whitman.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Lynn, Laurence E., 1937-</t>
        </is>
      </c>
      <c r="L1456" t="inlineStr">
        <is>
          <t>Philadelphia : Temple University Press, 1981.</t>
        </is>
      </c>
      <c r="M1456" t="inlineStr">
        <is>
          <t>1981</t>
        </is>
      </c>
      <c r="O1456" t="inlineStr">
        <is>
          <t>eng</t>
        </is>
      </c>
      <c r="P1456" t="inlineStr">
        <is>
          <t>pau</t>
        </is>
      </c>
      <c r="R1456" t="inlineStr">
        <is>
          <t xml:space="preserve">HV </t>
        </is>
      </c>
      <c r="S1456" t="n">
        <v>8</v>
      </c>
      <c r="T1456" t="n">
        <v>8</v>
      </c>
      <c r="U1456" t="inlineStr">
        <is>
          <t>2005-11-08</t>
        </is>
      </c>
      <c r="V1456" t="inlineStr">
        <is>
          <t>2005-11-08</t>
        </is>
      </c>
      <c r="W1456" t="inlineStr">
        <is>
          <t>1993-05-17</t>
        </is>
      </c>
      <c r="X1456" t="inlineStr">
        <is>
          <t>1993-05-17</t>
        </is>
      </c>
      <c r="Y1456" t="n">
        <v>577</v>
      </c>
      <c r="Z1456" t="n">
        <v>519</v>
      </c>
      <c r="AA1456" t="n">
        <v>526</v>
      </c>
      <c r="AB1456" t="n">
        <v>3</v>
      </c>
      <c r="AC1456" t="n">
        <v>3</v>
      </c>
      <c r="AD1456" t="n">
        <v>29</v>
      </c>
      <c r="AE1456" t="n">
        <v>29</v>
      </c>
      <c r="AF1456" t="n">
        <v>10</v>
      </c>
      <c r="AG1456" t="n">
        <v>10</v>
      </c>
      <c r="AH1456" t="n">
        <v>6</v>
      </c>
      <c r="AI1456" t="n">
        <v>6</v>
      </c>
      <c r="AJ1456" t="n">
        <v>16</v>
      </c>
      <c r="AK1456" t="n">
        <v>16</v>
      </c>
      <c r="AL1456" t="n">
        <v>2</v>
      </c>
      <c r="AM1456" t="n">
        <v>2</v>
      </c>
      <c r="AN1456" t="n">
        <v>4</v>
      </c>
      <c r="AO1456" t="n">
        <v>4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HYPERLINK("http://catalog.hathitrust.org/Record/000098969","HathiTrust Record")</f>
        <v/>
      </c>
      <c r="AS1456">
        <f>HYPERLINK("https://creighton-primo.hosted.exlibrisgroup.com/primo-explore/search?tab=default_tab&amp;search_scope=EVERYTHING&amp;vid=01CRU&amp;lang=en_US&amp;offset=0&amp;query=any,contains,991005103449702656","Catalog Record")</f>
        <v/>
      </c>
      <c r="AT1456">
        <f>HYPERLINK("http://www.worldcat.org/oclc/7307378","WorldCat Record")</f>
        <v/>
      </c>
      <c r="AU1456" t="inlineStr">
        <is>
          <t>535786:eng</t>
        </is>
      </c>
      <c r="AV1456" t="inlineStr">
        <is>
          <t>7307378</t>
        </is>
      </c>
      <c r="AW1456" t="inlineStr">
        <is>
          <t>991005103449702656</t>
        </is>
      </c>
      <c r="AX1456" t="inlineStr">
        <is>
          <t>991005103449702656</t>
        </is>
      </c>
      <c r="AY1456" t="inlineStr">
        <is>
          <t>2259554460002656</t>
        </is>
      </c>
      <c r="AZ1456" t="inlineStr">
        <is>
          <t>BOOK</t>
        </is>
      </c>
      <c r="BB1456" t="inlineStr">
        <is>
          <t>9780877222231</t>
        </is>
      </c>
      <c r="BC1456" t="inlineStr">
        <is>
          <t>32285001680908</t>
        </is>
      </c>
      <c r="BD1456" t="inlineStr">
        <is>
          <t>893514041</t>
        </is>
      </c>
    </row>
    <row r="1457">
      <c r="A1457" t="inlineStr">
        <is>
          <t>No</t>
        </is>
      </c>
      <c r="B1457" t="inlineStr">
        <is>
          <t>HV95 .M267 1989</t>
        </is>
      </c>
      <c r="C1457" t="inlineStr">
        <is>
          <t>0                      HV 0095000M  267         1989</t>
        </is>
      </c>
      <c r="D1457" t="inlineStr">
        <is>
          <t>Managing human service organizations / edited by Lynn E. Miller.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New York : Quorum Books, c1989.</t>
        </is>
      </c>
      <c r="M1457" t="inlineStr">
        <is>
          <t>1989</t>
        </is>
      </c>
      <c r="O1457" t="inlineStr">
        <is>
          <t>eng</t>
        </is>
      </c>
      <c r="P1457" t="inlineStr">
        <is>
          <t>nyu</t>
        </is>
      </c>
      <c r="R1457" t="inlineStr">
        <is>
          <t xml:space="preserve">HV </t>
        </is>
      </c>
      <c r="S1457" t="n">
        <v>8</v>
      </c>
      <c r="T1457" t="n">
        <v>8</v>
      </c>
      <c r="U1457" t="inlineStr">
        <is>
          <t>2000-04-16</t>
        </is>
      </c>
      <c r="V1457" t="inlineStr">
        <is>
          <t>2000-04-16</t>
        </is>
      </c>
      <c r="W1457" t="inlineStr">
        <is>
          <t>1989-12-29</t>
        </is>
      </c>
      <c r="X1457" t="inlineStr">
        <is>
          <t>1989-12-29</t>
        </is>
      </c>
      <c r="Y1457" t="n">
        <v>215</v>
      </c>
      <c r="Z1457" t="n">
        <v>174</v>
      </c>
      <c r="AA1457" t="n">
        <v>176</v>
      </c>
      <c r="AB1457" t="n">
        <v>2</v>
      </c>
      <c r="AC1457" t="n">
        <v>2</v>
      </c>
      <c r="AD1457" t="n">
        <v>9</v>
      </c>
      <c r="AE1457" t="n">
        <v>9</v>
      </c>
      <c r="AF1457" t="n">
        <v>1</v>
      </c>
      <c r="AG1457" t="n">
        <v>1</v>
      </c>
      <c r="AH1457" t="n">
        <v>2</v>
      </c>
      <c r="AI1457" t="n">
        <v>2</v>
      </c>
      <c r="AJ1457" t="n">
        <v>7</v>
      </c>
      <c r="AK1457" t="n">
        <v>7</v>
      </c>
      <c r="AL1457" t="n">
        <v>1</v>
      </c>
      <c r="AM1457" t="n">
        <v>1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HYPERLINK("http://catalog.hathitrust.org/Record/001829542","HathiTrust Record")</f>
        <v/>
      </c>
      <c r="AS1457">
        <f>HYPERLINK("https://creighton-primo.hosted.exlibrisgroup.com/primo-explore/search?tab=default_tab&amp;search_scope=EVERYTHING&amp;vid=01CRU&amp;lang=en_US&amp;offset=0&amp;query=any,contains,991001423529702656","Catalog Record")</f>
        <v/>
      </c>
      <c r="AT1457">
        <f>HYPERLINK("http://www.worldcat.org/oclc/18986295","WorldCat Record")</f>
        <v/>
      </c>
      <c r="AU1457" t="inlineStr">
        <is>
          <t>55168597:eng</t>
        </is>
      </c>
      <c r="AV1457" t="inlineStr">
        <is>
          <t>18986295</t>
        </is>
      </c>
      <c r="AW1457" t="inlineStr">
        <is>
          <t>991001423529702656</t>
        </is>
      </c>
      <c r="AX1457" t="inlineStr">
        <is>
          <t>991001423529702656</t>
        </is>
      </c>
      <c r="AY1457" t="inlineStr">
        <is>
          <t>2268410310002656</t>
        </is>
      </c>
      <c r="AZ1457" t="inlineStr">
        <is>
          <t>BOOK</t>
        </is>
      </c>
      <c r="BB1457" t="inlineStr">
        <is>
          <t>9780899303055</t>
        </is>
      </c>
      <c r="BC1457" t="inlineStr">
        <is>
          <t>32285000019538</t>
        </is>
      </c>
      <c r="BD1457" t="inlineStr">
        <is>
          <t>893321927</t>
        </is>
      </c>
    </row>
    <row r="1458">
      <c r="A1458" t="inlineStr">
        <is>
          <t>No</t>
        </is>
      </c>
      <c r="B1458" t="inlineStr">
        <is>
          <t>HV95 .M2737 2006</t>
        </is>
      </c>
      <c r="C1458" t="inlineStr">
        <is>
          <t>0                      HV 0095000M  2737        2006</t>
        </is>
      </c>
      <c r="D1458" t="inlineStr">
        <is>
          <t>Not working : Latina immigrants, low-wage jobs, and the failure of welfare reform / Alejandra Marchevsky and Jeanne Theoharis.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Marchevsky, Alejandra.</t>
        </is>
      </c>
      <c r="L1458" t="inlineStr">
        <is>
          <t>New York : New York University Press, c2006.</t>
        </is>
      </c>
      <c r="M1458" t="inlineStr">
        <is>
          <t>2006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HV </t>
        </is>
      </c>
      <c r="S1458" t="n">
        <v>1</v>
      </c>
      <c r="T1458" t="n">
        <v>1</v>
      </c>
      <c r="U1458" t="inlineStr">
        <is>
          <t>2007-10-30</t>
        </is>
      </c>
      <c r="V1458" t="inlineStr">
        <is>
          <t>2007-10-30</t>
        </is>
      </c>
      <c r="W1458" t="inlineStr">
        <is>
          <t>2007-10-30</t>
        </is>
      </c>
      <c r="X1458" t="inlineStr">
        <is>
          <t>2007-10-30</t>
        </is>
      </c>
      <c r="Y1458" t="n">
        <v>438</v>
      </c>
      <c r="Z1458" t="n">
        <v>399</v>
      </c>
      <c r="AA1458" t="n">
        <v>1183</v>
      </c>
      <c r="AB1458" t="n">
        <v>1</v>
      </c>
      <c r="AC1458" t="n">
        <v>15</v>
      </c>
      <c r="AD1458" t="n">
        <v>19</v>
      </c>
      <c r="AE1458" t="n">
        <v>42</v>
      </c>
      <c r="AF1458" t="n">
        <v>6</v>
      </c>
      <c r="AG1458" t="n">
        <v>13</v>
      </c>
      <c r="AH1458" t="n">
        <v>4</v>
      </c>
      <c r="AI1458" t="n">
        <v>8</v>
      </c>
      <c r="AJ1458" t="n">
        <v>11</v>
      </c>
      <c r="AK1458" t="n">
        <v>15</v>
      </c>
      <c r="AL1458" t="n">
        <v>0</v>
      </c>
      <c r="AM1458" t="n">
        <v>10</v>
      </c>
      <c r="AN1458" t="n">
        <v>2</v>
      </c>
      <c r="AO1458" t="n">
        <v>3</v>
      </c>
      <c r="AP1458" t="inlineStr">
        <is>
          <t>No</t>
        </is>
      </c>
      <c r="AQ1458" t="inlineStr">
        <is>
          <t>No</t>
        </is>
      </c>
      <c r="AS1458">
        <f>HYPERLINK("https://creighton-primo.hosted.exlibrisgroup.com/primo-explore/search?tab=default_tab&amp;search_scope=EVERYTHING&amp;vid=01CRU&amp;lang=en_US&amp;offset=0&amp;query=any,contains,991005131949702656","Catalog Record")</f>
        <v/>
      </c>
      <c r="AT1458">
        <f>HYPERLINK("http://www.worldcat.org/oclc/62089873","WorldCat Record")</f>
        <v/>
      </c>
      <c r="AU1458" t="inlineStr">
        <is>
          <t>794098044:eng</t>
        </is>
      </c>
      <c r="AV1458" t="inlineStr">
        <is>
          <t>62089873</t>
        </is>
      </c>
      <c r="AW1458" t="inlineStr">
        <is>
          <t>991005131949702656</t>
        </is>
      </c>
      <c r="AX1458" t="inlineStr">
        <is>
          <t>991005131949702656</t>
        </is>
      </c>
      <c r="AY1458" t="inlineStr">
        <is>
          <t>2271071140002656</t>
        </is>
      </c>
      <c r="AZ1458" t="inlineStr">
        <is>
          <t>BOOK</t>
        </is>
      </c>
      <c r="BB1458" t="inlineStr">
        <is>
          <t>9780814757093</t>
        </is>
      </c>
      <c r="BC1458" t="inlineStr">
        <is>
          <t>32285005363063</t>
        </is>
      </c>
      <c r="BD1458" t="inlineStr">
        <is>
          <t>893902173</t>
        </is>
      </c>
    </row>
    <row r="1459">
      <c r="A1459" t="inlineStr">
        <is>
          <t>No</t>
        </is>
      </c>
      <c r="B1459" t="inlineStr">
        <is>
          <t>HV95 .M2743 1993</t>
        </is>
      </c>
      <c r="C1459" t="inlineStr">
        <is>
          <t>0                      HV 0095000M  2743        1993</t>
        </is>
      </c>
      <c r="D1459" t="inlineStr">
        <is>
          <t>Total quality management in human service organizations / Lawrence L. Martin.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Martin, Lawrence L.</t>
        </is>
      </c>
      <c r="L1459" t="inlineStr">
        <is>
          <t>Newbury Park : Sage Publications, c1993.</t>
        </is>
      </c>
      <c r="M1459" t="inlineStr">
        <is>
          <t>1993</t>
        </is>
      </c>
      <c r="O1459" t="inlineStr">
        <is>
          <t>eng</t>
        </is>
      </c>
      <c r="P1459" t="inlineStr">
        <is>
          <t>cau</t>
        </is>
      </c>
      <c r="Q1459" t="inlineStr">
        <is>
          <t>Sage human services guide ; 67</t>
        </is>
      </c>
      <c r="R1459" t="inlineStr">
        <is>
          <t xml:space="preserve">HV </t>
        </is>
      </c>
      <c r="S1459" t="n">
        <v>1</v>
      </c>
      <c r="T1459" t="n">
        <v>1</v>
      </c>
      <c r="U1459" t="inlineStr">
        <is>
          <t>2006-07-08</t>
        </is>
      </c>
      <c r="V1459" t="inlineStr">
        <is>
          <t>2006-07-08</t>
        </is>
      </c>
      <c r="W1459" t="inlineStr">
        <is>
          <t>1999-07-27</t>
        </is>
      </c>
      <c r="X1459" t="inlineStr">
        <is>
          <t>1999-07-27</t>
        </is>
      </c>
      <c r="Y1459" t="n">
        <v>405</v>
      </c>
      <c r="Z1459" t="n">
        <v>271</v>
      </c>
      <c r="AA1459" t="n">
        <v>340</v>
      </c>
      <c r="AB1459" t="n">
        <v>3</v>
      </c>
      <c r="AC1459" t="n">
        <v>3</v>
      </c>
      <c r="AD1459" t="n">
        <v>14</v>
      </c>
      <c r="AE1459" t="n">
        <v>18</v>
      </c>
      <c r="AF1459" t="n">
        <v>6</v>
      </c>
      <c r="AG1459" t="n">
        <v>8</v>
      </c>
      <c r="AH1459" t="n">
        <v>2</v>
      </c>
      <c r="AI1459" t="n">
        <v>4</v>
      </c>
      <c r="AJ1459" t="n">
        <v>7</v>
      </c>
      <c r="AK1459" t="n">
        <v>8</v>
      </c>
      <c r="AL1459" t="n">
        <v>2</v>
      </c>
      <c r="AM1459" t="n">
        <v>2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Yes</t>
        </is>
      </c>
      <c r="AR1459">
        <f>HYPERLINK("http://catalog.hathitrust.org/Record/002782461","HathiTrust Record")</f>
        <v/>
      </c>
      <c r="AS1459">
        <f>HYPERLINK("https://creighton-primo.hosted.exlibrisgroup.com/primo-explore/search?tab=default_tab&amp;search_scope=EVERYTHING&amp;vid=01CRU&amp;lang=en_US&amp;offset=0&amp;query=any,contains,991002204329702656","Catalog Record")</f>
        <v/>
      </c>
      <c r="AT1459">
        <f>HYPERLINK("http://www.worldcat.org/oclc/28374375","WorldCat Record")</f>
        <v/>
      </c>
      <c r="AU1459" t="inlineStr">
        <is>
          <t>30677348:eng</t>
        </is>
      </c>
      <c r="AV1459" t="inlineStr">
        <is>
          <t>28374375</t>
        </is>
      </c>
      <c r="AW1459" t="inlineStr">
        <is>
          <t>991002204329702656</t>
        </is>
      </c>
      <c r="AX1459" t="inlineStr">
        <is>
          <t>991002204329702656</t>
        </is>
      </c>
      <c r="AY1459" t="inlineStr">
        <is>
          <t>2254756080002656</t>
        </is>
      </c>
      <c r="AZ1459" t="inlineStr">
        <is>
          <t>BOOK</t>
        </is>
      </c>
      <c r="BB1459" t="inlineStr">
        <is>
          <t>9780803949492</t>
        </is>
      </c>
      <c r="BC1459" t="inlineStr">
        <is>
          <t>32285003579272</t>
        </is>
      </c>
      <c r="BD1459" t="inlineStr">
        <is>
          <t>893244884</t>
        </is>
      </c>
    </row>
    <row r="1460">
      <c r="A1460" t="inlineStr">
        <is>
          <t>No</t>
        </is>
      </c>
      <c r="B1460" t="inlineStr">
        <is>
          <t>HV95 .M49 1990</t>
        </is>
      </c>
      <c r="C1460" t="inlineStr">
        <is>
          <t>0                      HV 0095000M  49          1990</t>
        </is>
      </c>
      <c r="D1460" t="inlineStr">
        <is>
          <t>Women and social welfare : a feminist analysis / Dorothy C. Miller.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K1460" t="inlineStr">
        <is>
          <t>Miller, Dorothy C.</t>
        </is>
      </c>
      <c r="L1460" t="inlineStr">
        <is>
          <t>New York : Praeger, 1990.</t>
        </is>
      </c>
      <c r="M1460" t="inlineStr">
        <is>
          <t>1990</t>
        </is>
      </c>
      <c r="O1460" t="inlineStr">
        <is>
          <t>eng</t>
        </is>
      </c>
      <c r="P1460" t="inlineStr">
        <is>
          <t>nyu</t>
        </is>
      </c>
      <c r="R1460" t="inlineStr">
        <is>
          <t xml:space="preserve">HV </t>
        </is>
      </c>
      <c r="S1460" t="n">
        <v>5</v>
      </c>
      <c r="T1460" t="n">
        <v>5</v>
      </c>
      <c r="U1460" t="inlineStr">
        <is>
          <t>1994-04-16</t>
        </is>
      </c>
      <c r="V1460" t="inlineStr">
        <is>
          <t>1994-04-16</t>
        </is>
      </c>
      <c r="W1460" t="inlineStr">
        <is>
          <t>1990-06-20</t>
        </is>
      </c>
      <c r="X1460" t="inlineStr">
        <is>
          <t>1990-06-20</t>
        </is>
      </c>
      <c r="Y1460" t="n">
        <v>605</v>
      </c>
      <c r="Z1460" t="n">
        <v>525</v>
      </c>
      <c r="AA1460" t="n">
        <v>563</v>
      </c>
      <c r="AB1460" t="n">
        <v>5</v>
      </c>
      <c r="AC1460" t="n">
        <v>5</v>
      </c>
      <c r="AD1460" t="n">
        <v>30</v>
      </c>
      <c r="AE1460" t="n">
        <v>31</v>
      </c>
      <c r="AF1460" t="n">
        <v>10</v>
      </c>
      <c r="AG1460" t="n">
        <v>10</v>
      </c>
      <c r="AH1460" t="n">
        <v>9</v>
      </c>
      <c r="AI1460" t="n">
        <v>9</v>
      </c>
      <c r="AJ1460" t="n">
        <v>15</v>
      </c>
      <c r="AK1460" t="n">
        <v>16</v>
      </c>
      <c r="AL1460" t="n">
        <v>4</v>
      </c>
      <c r="AM1460" t="n">
        <v>4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HYPERLINK("http://catalog.hathitrust.org/Record/001842129","HathiTrust Record")</f>
        <v/>
      </c>
      <c r="AS1460">
        <f>HYPERLINK("https://creighton-primo.hosted.exlibrisgroup.com/primo-explore/search?tab=default_tab&amp;search_scope=EVERYTHING&amp;vid=01CRU&amp;lang=en_US&amp;offset=0&amp;query=any,contains,991001533339702656","Catalog Record")</f>
        <v/>
      </c>
      <c r="AT1460">
        <f>HYPERLINK("http://www.worldcat.org/oclc/20056336","WorldCat Record")</f>
        <v/>
      </c>
      <c r="AU1460" t="inlineStr">
        <is>
          <t>257230781:eng</t>
        </is>
      </c>
      <c r="AV1460" t="inlineStr">
        <is>
          <t>20056336</t>
        </is>
      </c>
      <c r="AW1460" t="inlineStr">
        <is>
          <t>991001533339702656</t>
        </is>
      </c>
      <c r="AX1460" t="inlineStr">
        <is>
          <t>991001533339702656</t>
        </is>
      </c>
      <c r="AY1460" t="inlineStr">
        <is>
          <t>2271254270002656</t>
        </is>
      </c>
      <c r="AZ1460" t="inlineStr">
        <is>
          <t>BOOK</t>
        </is>
      </c>
      <c r="BB1460" t="inlineStr">
        <is>
          <t>9780275929732</t>
        </is>
      </c>
      <c r="BC1460" t="inlineStr">
        <is>
          <t>32285000178896</t>
        </is>
      </c>
      <c r="BD1460" t="inlineStr">
        <is>
          <t>893497148</t>
        </is>
      </c>
    </row>
    <row r="1461">
      <c r="A1461" t="inlineStr">
        <is>
          <t>No</t>
        </is>
      </c>
      <c r="B1461" t="inlineStr">
        <is>
          <t>HV95 .M57 1986</t>
        </is>
      </c>
      <c r="C1461" t="inlineStr">
        <is>
          <t>0                      HV 0095000M  57          1986</t>
        </is>
      </c>
      <c r="D1461" t="inlineStr">
        <is>
          <t>American social welfare policy : reassessment and reform / Marc L. Miringoff, Sandra Opdycke.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K1461" t="inlineStr">
        <is>
          <t>Miringoff, Marc L.</t>
        </is>
      </c>
      <c r="L1461" t="inlineStr">
        <is>
          <t>Englewood Cliffs, N.J. : Prentice-Hall, c1986.</t>
        </is>
      </c>
      <c r="M1461" t="inlineStr">
        <is>
          <t>1986</t>
        </is>
      </c>
      <c r="O1461" t="inlineStr">
        <is>
          <t>eng</t>
        </is>
      </c>
      <c r="P1461" t="inlineStr">
        <is>
          <t>nju</t>
        </is>
      </c>
      <c r="R1461" t="inlineStr">
        <is>
          <t xml:space="preserve">HV </t>
        </is>
      </c>
      <c r="S1461" t="n">
        <v>19</v>
      </c>
      <c r="T1461" t="n">
        <v>19</v>
      </c>
      <c r="U1461" t="inlineStr">
        <is>
          <t>2000-04-30</t>
        </is>
      </c>
      <c r="V1461" t="inlineStr">
        <is>
          <t>2000-04-30</t>
        </is>
      </c>
      <c r="W1461" t="inlineStr">
        <is>
          <t>1990-07-20</t>
        </is>
      </c>
      <c r="X1461" t="inlineStr">
        <is>
          <t>1990-07-20</t>
        </is>
      </c>
      <c r="Y1461" t="n">
        <v>203</v>
      </c>
      <c r="Z1461" t="n">
        <v>179</v>
      </c>
      <c r="AA1461" t="n">
        <v>186</v>
      </c>
      <c r="AB1461" t="n">
        <v>1</v>
      </c>
      <c r="AC1461" t="n">
        <v>1</v>
      </c>
      <c r="AD1461" t="n">
        <v>6</v>
      </c>
      <c r="AE1461" t="n">
        <v>6</v>
      </c>
      <c r="AF1461" t="n">
        <v>1</v>
      </c>
      <c r="AG1461" t="n">
        <v>1</v>
      </c>
      <c r="AH1461" t="n">
        <v>3</v>
      </c>
      <c r="AI1461" t="n">
        <v>3</v>
      </c>
      <c r="AJ1461" t="n">
        <v>4</v>
      </c>
      <c r="AK1461" t="n">
        <v>4</v>
      </c>
      <c r="AL1461" t="n">
        <v>0</v>
      </c>
      <c r="AM1461" t="n">
        <v>0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HYPERLINK("http://catalog.hathitrust.org/Record/000590087","HathiTrust Record")</f>
        <v/>
      </c>
      <c r="AS1461">
        <f>HYPERLINK("https://creighton-primo.hosted.exlibrisgroup.com/primo-explore/search?tab=default_tab&amp;search_scope=EVERYTHING&amp;vid=01CRU&amp;lang=en_US&amp;offset=0&amp;query=any,contains,991000765669702656","Catalog Record")</f>
        <v/>
      </c>
      <c r="AT1461">
        <f>HYPERLINK("http://www.worldcat.org/oclc/12999050","WorldCat Record")</f>
        <v/>
      </c>
      <c r="AU1461" t="inlineStr">
        <is>
          <t>309156425:eng</t>
        </is>
      </c>
      <c r="AV1461" t="inlineStr">
        <is>
          <t>12999050</t>
        </is>
      </c>
      <c r="AW1461" t="inlineStr">
        <is>
          <t>991000765669702656</t>
        </is>
      </c>
      <c r="AX1461" t="inlineStr">
        <is>
          <t>991000765669702656</t>
        </is>
      </c>
      <c r="AY1461" t="inlineStr">
        <is>
          <t>2262918460002656</t>
        </is>
      </c>
      <c r="AZ1461" t="inlineStr">
        <is>
          <t>BOOK</t>
        </is>
      </c>
      <c r="BB1461" t="inlineStr">
        <is>
          <t>9780130295545</t>
        </is>
      </c>
      <c r="BC1461" t="inlineStr">
        <is>
          <t>32285000246909</t>
        </is>
      </c>
      <c r="BD1461" t="inlineStr">
        <is>
          <t>893865658</t>
        </is>
      </c>
    </row>
    <row r="1462">
      <c r="A1462" t="inlineStr">
        <is>
          <t>No</t>
        </is>
      </c>
      <c r="B1462" t="inlineStr">
        <is>
          <t>HV95 .O42 1996</t>
        </is>
      </c>
      <c r="C1462" t="inlineStr">
        <is>
          <t>0                      HV 0095000O  42          1996</t>
        </is>
      </c>
      <c r="D1462" t="inlineStr">
        <is>
          <t>Renewing American compassion / Marvin Olasky ; foreword by Newt Gingrich.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Olasky, Marvin N.</t>
        </is>
      </c>
      <c r="L1462" t="inlineStr">
        <is>
          <t>New York : Free Press, c1996.</t>
        </is>
      </c>
      <c r="M1462" t="inlineStr">
        <is>
          <t>1996</t>
        </is>
      </c>
      <c r="O1462" t="inlineStr">
        <is>
          <t>eng</t>
        </is>
      </c>
      <c r="P1462" t="inlineStr">
        <is>
          <t>nyu</t>
        </is>
      </c>
      <c r="R1462" t="inlineStr">
        <is>
          <t xml:space="preserve">HV </t>
        </is>
      </c>
      <c r="S1462" t="n">
        <v>3</v>
      </c>
      <c r="T1462" t="n">
        <v>3</v>
      </c>
      <c r="U1462" t="inlineStr">
        <is>
          <t>2004-02-24</t>
        </is>
      </c>
      <c r="V1462" t="inlineStr">
        <is>
          <t>2004-02-24</t>
        </is>
      </c>
      <c r="W1462" t="inlineStr">
        <is>
          <t>1996-05-21</t>
        </is>
      </c>
      <c r="X1462" t="inlineStr">
        <is>
          <t>1996-05-21</t>
        </is>
      </c>
      <c r="Y1462" t="n">
        <v>662</v>
      </c>
      <c r="Z1462" t="n">
        <v>638</v>
      </c>
      <c r="AA1462" t="n">
        <v>678</v>
      </c>
      <c r="AB1462" t="n">
        <v>7</v>
      </c>
      <c r="AC1462" t="n">
        <v>9</v>
      </c>
      <c r="AD1462" t="n">
        <v>18</v>
      </c>
      <c r="AE1462" t="n">
        <v>20</v>
      </c>
      <c r="AF1462" t="n">
        <v>7</v>
      </c>
      <c r="AG1462" t="n">
        <v>8</v>
      </c>
      <c r="AH1462" t="n">
        <v>4</v>
      </c>
      <c r="AI1462" t="n">
        <v>4</v>
      </c>
      <c r="AJ1462" t="n">
        <v>8</v>
      </c>
      <c r="AK1462" t="n">
        <v>8</v>
      </c>
      <c r="AL1462" t="n">
        <v>3</v>
      </c>
      <c r="AM1462" t="n">
        <v>4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Yes</t>
        </is>
      </c>
      <c r="AR1462">
        <f>HYPERLINK("http://catalog.hathitrust.org/Record/003062701","HathiTrust Record")</f>
        <v/>
      </c>
      <c r="AS1462">
        <f>HYPERLINK("https://creighton-primo.hosted.exlibrisgroup.com/primo-explore/search?tab=default_tab&amp;search_scope=EVERYTHING&amp;vid=01CRU&amp;lang=en_US&amp;offset=0&amp;query=any,contains,991002600049702656","Catalog Record")</f>
        <v/>
      </c>
      <c r="AT1462">
        <f>HYPERLINK("http://www.worldcat.org/oclc/34076452","WorldCat Record")</f>
        <v/>
      </c>
      <c r="AU1462" t="inlineStr">
        <is>
          <t>650511:eng</t>
        </is>
      </c>
      <c r="AV1462" t="inlineStr">
        <is>
          <t>34076452</t>
        </is>
      </c>
      <c r="AW1462" t="inlineStr">
        <is>
          <t>991002600049702656</t>
        </is>
      </c>
      <c r="AX1462" t="inlineStr">
        <is>
          <t>991002600049702656</t>
        </is>
      </c>
      <c r="AY1462" t="inlineStr">
        <is>
          <t>2269768640002656</t>
        </is>
      </c>
      <c r="AZ1462" t="inlineStr">
        <is>
          <t>BOOK</t>
        </is>
      </c>
      <c r="BB1462" t="inlineStr">
        <is>
          <t>9780684830001</t>
        </is>
      </c>
      <c r="BC1462" t="inlineStr">
        <is>
          <t>32285002176393</t>
        </is>
      </c>
      <c r="BD1462" t="inlineStr">
        <is>
          <t>893597648</t>
        </is>
      </c>
    </row>
    <row r="1463">
      <c r="A1463" t="inlineStr">
        <is>
          <t>No</t>
        </is>
      </c>
      <c r="B1463" t="inlineStr">
        <is>
          <t>HV95 .P472 1997</t>
        </is>
      </c>
      <c r="C1463" t="inlineStr">
        <is>
          <t>0                      HV 0095000P  472         1997</t>
        </is>
      </c>
      <c r="D1463" t="inlineStr">
        <is>
          <t>From welfare to work : corporate initiatives and welfare reform / Felice Davidson Perlmutter.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Perlmutter, Felice Davidson, 1931-</t>
        </is>
      </c>
      <c r="L1463" t="inlineStr">
        <is>
          <t>New York : Oxford University Press, 1997.</t>
        </is>
      </c>
      <c r="M1463" t="inlineStr">
        <is>
          <t>1997</t>
        </is>
      </c>
      <c r="O1463" t="inlineStr">
        <is>
          <t>eng</t>
        </is>
      </c>
      <c r="P1463" t="inlineStr">
        <is>
          <t>nyu</t>
        </is>
      </c>
      <c r="R1463" t="inlineStr">
        <is>
          <t xml:space="preserve">HV </t>
        </is>
      </c>
      <c r="S1463" t="n">
        <v>15</v>
      </c>
      <c r="T1463" t="n">
        <v>15</v>
      </c>
      <c r="U1463" t="inlineStr">
        <is>
          <t>2007-03-19</t>
        </is>
      </c>
      <c r="V1463" t="inlineStr">
        <is>
          <t>2007-03-19</t>
        </is>
      </c>
      <c r="W1463" t="inlineStr">
        <is>
          <t>1998-04-14</t>
        </is>
      </c>
      <c r="X1463" t="inlineStr">
        <is>
          <t>1998-04-14</t>
        </is>
      </c>
      <c r="Y1463" t="n">
        <v>408</v>
      </c>
      <c r="Z1463" t="n">
        <v>338</v>
      </c>
      <c r="AA1463" t="n">
        <v>395</v>
      </c>
      <c r="AB1463" t="n">
        <v>3</v>
      </c>
      <c r="AC1463" t="n">
        <v>4</v>
      </c>
      <c r="AD1463" t="n">
        <v>17</v>
      </c>
      <c r="AE1463" t="n">
        <v>21</v>
      </c>
      <c r="AF1463" t="n">
        <v>4</v>
      </c>
      <c r="AG1463" t="n">
        <v>4</v>
      </c>
      <c r="AH1463" t="n">
        <v>3</v>
      </c>
      <c r="AI1463" t="n">
        <v>6</v>
      </c>
      <c r="AJ1463" t="n">
        <v>9</v>
      </c>
      <c r="AK1463" t="n">
        <v>10</v>
      </c>
      <c r="AL1463" t="n">
        <v>2</v>
      </c>
      <c r="AM1463" t="n">
        <v>3</v>
      </c>
      <c r="AN1463" t="n">
        <v>2</v>
      </c>
      <c r="AO1463" t="n">
        <v>2</v>
      </c>
      <c r="AP1463" t="inlineStr">
        <is>
          <t>No</t>
        </is>
      </c>
      <c r="AQ1463" t="inlineStr">
        <is>
          <t>No</t>
        </is>
      </c>
      <c r="AS1463">
        <f>HYPERLINK("https://creighton-primo.hosted.exlibrisgroup.com/primo-explore/search?tab=default_tab&amp;search_scope=EVERYTHING&amp;vid=01CRU&amp;lang=en_US&amp;offset=0&amp;query=any,contains,991002686069702656","Catalog Record")</f>
        <v/>
      </c>
      <c r="AT1463">
        <f>HYPERLINK("http://www.worldcat.org/oclc/35095929","WorldCat Record")</f>
        <v/>
      </c>
      <c r="AU1463" t="inlineStr">
        <is>
          <t>197565353:eng</t>
        </is>
      </c>
      <c r="AV1463" t="inlineStr">
        <is>
          <t>35095929</t>
        </is>
      </c>
      <c r="AW1463" t="inlineStr">
        <is>
          <t>991002686069702656</t>
        </is>
      </c>
      <c r="AX1463" t="inlineStr">
        <is>
          <t>991002686069702656</t>
        </is>
      </c>
      <c r="AY1463" t="inlineStr">
        <is>
          <t>2272324770002656</t>
        </is>
      </c>
      <c r="AZ1463" t="inlineStr">
        <is>
          <t>BOOK</t>
        </is>
      </c>
      <c r="BB1463" t="inlineStr">
        <is>
          <t>9780195110159</t>
        </is>
      </c>
      <c r="BC1463" t="inlineStr">
        <is>
          <t>32285003384889</t>
        </is>
      </c>
      <c r="BD1463" t="inlineStr">
        <is>
          <t>893798876</t>
        </is>
      </c>
    </row>
    <row r="1464">
      <c r="A1464" t="inlineStr">
        <is>
          <t>No</t>
        </is>
      </c>
      <c r="B1464" t="inlineStr">
        <is>
          <t>HV95 .P48 1990</t>
        </is>
      </c>
      <c r="C1464" t="inlineStr">
        <is>
          <t>0                      HV 0095000P  48          1990</t>
        </is>
      </c>
      <c r="D1464" t="inlineStr">
        <is>
          <t>Welfare magnets : a new case for a national standard / Paul E. Peterson and Mark C. Rom, authors.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K1464" t="inlineStr">
        <is>
          <t>Peterson, Paul E.</t>
        </is>
      </c>
      <c r="L1464" t="inlineStr">
        <is>
          <t>Washinton, D.C. : Brookings Institution, c1990.</t>
        </is>
      </c>
      <c r="M1464" t="inlineStr">
        <is>
          <t>1990</t>
        </is>
      </c>
      <c r="O1464" t="inlineStr">
        <is>
          <t>eng</t>
        </is>
      </c>
      <c r="P1464" t="inlineStr">
        <is>
          <t>dcu</t>
        </is>
      </c>
      <c r="R1464" t="inlineStr">
        <is>
          <t xml:space="preserve">HV </t>
        </is>
      </c>
      <c r="S1464" t="n">
        <v>19</v>
      </c>
      <c r="T1464" t="n">
        <v>19</v>
      </c>
      <c r="U1464" t="inlineStr">
        <is>
          <t>1999-03-01</t>
        </is>
      </c>
      <c r="V1464" t="inlineStr">
        <is>
          <t>1999-03-01</t>
        </is>
      </c>
      <c r="W1464" t="inlineStr">
        <is>
          <t>1990-11-28</t>
        </is>
      </c>
      <c r="X1464" t="inlineStr">
        <is>
          <t>1990-11-28</t>
        </is>
      </c>
      <c r="Y1464" t="n">
        <v>655</v>
      </c>
      <c r="Z1464" t="n">
        <v>604</v>
      </c>
      <c r="AA1464" t="n">
        <v>609</v>
      </c>
      <c r="AB1464" t="n">
        <v>4</v>
      </c>
      <c r="AC1464" t="n">
        <v>4</v>
      </c>
      <c r="AD1464" t="n">
        <v>28</v>
      </c>
      <c r="AE1464" t="n">
        <v>28</v>
      </c>
      <c r="AF1464" t="n">
        <v>9</v>
      </c>
      <c r="AG1464" t="n">
        <v>9</v>
      </c>
      <c r="AH1464" t="n">
        <v>7</v>
      </c>
      <c r="AI1464" t="n">
        <v>7</v>
      </c>
      <c r="AJ1464" t="n">
        <v>12</v>
      </c>
      <c r="AK1464" t="n">
        <v>12</v>
      </c>
      <c r="AL1464" t="n">
        <v>3</v>
      </c>
      <c r="AM1464" t="n">
        <v>3</v>
      </c>
      <c r="AN1464" t="n">
        <v>4</v>
      </c>
      <c r="AO1464" t="n">
        <v>4</v>
      </c>
      <c r="AP1464" t="inlineStr">
        <is>
          <t>No</t>
        </is>
      </c>
      <c r="AQ1464" t="inlineStr">
        <is>
          <t>No</t>
        </is>
      </c>
      <c r="AS1464">
        <f>HYPERLINK("https://creighton-primo.hosted.exlibrisgroup.com/primo-explore/search?tab=default_tab&amp;search_scope=EVERYTHING&amp;vid=01CRU&amp;lang=en_US&amp;offset=0&amp;query=any,contains,991001767359702656","Catalog Record")</f>
        <v/>
      </c>
      <c r="AT1464">
        <f>HYPERLINK("http://www.worldcat.org/oclc/22314277","WorldCat Record")</f>
        <v/>
      </c>
      <c r="AU1464" t="inlineStr">
        <is>
          <t>366940060:eng</t>
        </is>
      </c>
      <c r="AV1464" t="inlineStr">
        <is>
          <t>22314277</t>
        </is>
      </c>
      <c r="AW1464" t="inlineStr">
        <is>
          <t>991001767359702656</t>
        </is>
      </c>
      <c r="AX1464" t="inlineStr">
        <is>
          <t>991001767359702656</t>
        </is>
      </c>
      <c r="AY1464" t="inlineStr">
        <is>
          <t>2263951670002656</t>
        </is>
      </c>
      <c r="AZ1464" t="inlineStr">
        <is>
          <t>BOOK</t>
        </is>
      </c>
      <c r="BB1464" t="inlineStr">
        <is>
          <t>9780815770213</t>
        </is>
      </c>
      <c r="BC1464" t="inlineStr">
        <is>
          <t>32285000297423</t>
        </is>
      </c>
      <c r="BD1464" t="inlineStr">
        <is>
          <t>893866464</t>
        </is>
      </c>
    </row>
    <row r="1465">
      <c r="A1465" t="inlineStr">
        <is>
          <t>No</t>
        </is>
      </c>
      <c r="B1465" t="inlineStr">
        <is>
          <t>HV95 .P57 1993</t>
        </is>
      </c>
      <c r="C1465" t="inlineStr">
        <is>
          <t>0                      HV 0095000P  57          1993</t>
        </is>
      </c>
      <c r="D1465" t="inlineStr">
        <is>
          <t>Regulating the poor : the functions of public welfare / Frances Fox Piven and Richard A. Cloward.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Yes</t>
        </is>
      </c>
      <c r="J1465" t="inlineStr">
        <is>
          <t>0</t>
        </is>
      </c>
      <c r="K1465" t="inlineStr">
        <is>
          <t>Piven, Frances Fox.</t>
        </is>
      </c>
      <c r="L1465" t="inlineStr">
        <is>
          <t>New York : Vintage Books, 1993.</t>
        </is>
      </c>
      <c r="M1465" t="inlineStr">
        <is>
          <t>1993</t>
        </is>
      </c>
      <c r="N1465" t="inlineStr">
        <is>
          <t>Updated ed.</t>
        </is>
      </c>
      <c r="O1465" t="inlineStr">
        <is>
          <t>eng</t>
        </is>
      </c>
      <c r="P1465" t="inlineStr">
        <is>
          <t>nyu</t>
        </is>
      </c>
      <c r="R1465" t="inlineStr">
        <is>
          <t xml:space="preserve">HV </t>
        </is>
      </c>
      <c r="S1465" t="n">
        <v>6</v>
      </c>
      <c r="T1465" t="n">
        <v>6</v>
      </c>
      <c r="U1465" t="inlineStr">
        <is>
          <t>2004-02-24</t>
        </is>
      </c>
      <c r="V1465" t="inlineStr">
        <is>
          <t>2004-02-24</t>
        </is>
      </c>
      <c r="W1465" t="inlineStr">
        <is>
          <t>1994-01-26</t>
        </is>
      </c>
      <c r="X1465" t="inlineStr">
        <is>
          <t>1994-01-26</t>
        </is>
      </c>
      <c r="Y1465" t="n">
        <v>591</v>
      </c>
      <c r="Z1465" t="n">
        <v>511</v>
      </c>
      <c r="AA1465" t="n">
        <v>1622</v>
      </c>
      <c r="AB1465" t="n">
        <v>4</v>
      </c>
      <c r="AC1465" t="n">
        <v>12</v>
      </c>
      <c r="AD1465" t="n">
        <v>19</v>
      </c>
      <c r="AE1465" t="n">
        <v>71</v>
      </c>
      <c r="AF1465" t="n">
        <v>5</v>
      </c>
      <c r="AG1465" t="n">
        <v>26</v>
      </c>
      <c r="AH1465" t="n">
        <v>2</v>
      </c>
      <c r="AI1465" t="n">
        <v>11</v>
      </c>
      <c r="AJ1465" t="n">
        <v>8</v>
      </c>
      <c r="AK1465" t="n">
        <v>25</v>
      </c>
      <c r="AL1465" t="n">
        <v>3</v>
      </c>
      <c r="AM1465" t="n">
        <v>9</v>
      </c>
      <c r="AN1465" t="n">
        <v>3</v>
      </c>
      <c r="AO1465" t="n">
        <v>14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HYPERLINK("http://catalog.hathitrust.org/Record/005053350","HathiTrust Record")</f>
        <v/>
      </c>
      <c r="AS1465">
        <f>HYPERLINK("https://creighton-primo.hosted.exlibrisgroup.com/primo-explore/search?tab=default_tab&amp;search_scope=EVERYTHING&amp;vid=01CRU&amp;lang=en_US&amp;offset=0&amp;query=any,contains,991002177399702656","Catalog Record")</f>
        <v/>
      </c>
      <c r="AT1465">
        <f>HYPERLINK("http://www.worldcat.org/oclc/28026493","WorldCat Record")</f>
        <v/>
      </c>
      <c r="AU1465" t="inlineStr">
        <is>
          <t>346923:eng</t>
        </is>
      </c>
      <c r="AV1465" t="inlineStr">
        <is>
          <t>28026493</t>
        </is>
      </c>
      <c r="AW1465" t="inlineStr">
        <is>
          <t>991002177399702656</t>
        </is>
      </c>
      <c r="AX1465" t="inlineStr">
        <is>
          <t>991002177399702656</t>
        </is>
      </c>
      <c r="AY1465" t="inlineStr">
        <is>
          <t>2262865660002656</t>
        </is>
      </c>
      <c r="AZ1465" t="inlineStr">
        <is>
          <t>BOOK</t>
        </is>
      </c>
      <c r="BB1465" t="inlineStr">
        <is>
          <t>9780679745167</t>
        </is>
      </c>
      <c r="BC1465" t="inlineStr">
        <is>
          <t>32285001833721</t>
        </is>
      </c>
      <c r="BD1465" t="inlineStr">
        <is>
          <t>893892243</t>
        </is>
      </c>
    </row>
    <row r="1466">
      <c r="A1466" t="inlineStr">
        <is>
          <t>No</t>
        </is>
      </c>
      <c r="B1466" t="inlineStr">
        <is>
          <t>HV95 .P656 1995</t>
        </is>
      </c>
      <c r="C1466" t="inlineStr">
        <is>
          <t>0                      HV 0095000P  656         1995</t>
        </is>
      </c>
      <c r="D1466" t="inlineStr">
        <is>
          <t>The politics of welfare reform / edited by Donald F. Norris, Lyke Thompson.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L1466" t="inlineStr">
        <is>
          <t>Thousand Oaks : Sage Publications, c1995.</t>
        </is>
      </c>
      <c r="M1466" t="inlineStr">
        <is>
          <t>1995</t>
        </is>
      </c>
      <c r="O1466" t="inlineStr">
        <is>
          <t>eng</t>
        </is>
      </c>
      <c r="P1466" t="inlineStr">
        <is>
          <t>cau</t>
        </is>
      </c>
      <c r="R1466" t="inlineStr">
        <is>
          <t xml:space="preserve">HV </t>
        </is>
      </c>
      <c r="S1466" t="n">
        <v>14</v>
      </c>
      <c r="T1466" t="n">
        <v>14</v>
      </c>
      <c r="U1466" t="inlineStr">
        <is>
          <t>2008-04-10</t>
        </is>
      </c>
      <c r="V1466" t="inlineStr">
        <is>
          <t>2008-04-10</t>
        </is>
      </c>
      <c r="W1466" t="inlineStr">
        <is>
          <t>1995-11-09</t>
        </is>
      </c>
      <c r="X1466" t="inlineStr">
        <is>
          <t>1995-11-09</t>
        </is>
      </c>
      <c r="Y1466" t="n">
        <v>559</v>
      </c>
      <c r="Z1466" t="n">
        <v>477</v>
      </c>
      <c r="AA1466" t="n">
        <v>478</v>
      </c>
      <c r="AB1466" t="n">
        <v>4</v>
      </c>
      <c r="AC1466" t="n">
        <v>4</v>
      </c>
      <c r="AD1466" t="n">
        <v>29</v>
      </c>
      <c r="AE1466" t="n">
        <v>29</v>
      </c>
      <c r="AF1466" t="n">
        <v>9</v>
      </c>
      <c r="AG1466" t="n">
        <v>9</v>
      </c>
      <c r="AH1466" t="n">
        <v>8</v>
      </c>
      <c r="AI1466" t="n">
        <v>8</v>
      </c>
      <c r="AJ1466" t="n">
        <v>14</v>
      </c>
      <c r="AK1466" t="n">
        <v>14</v>
      </c>
      <c r="AL1466" t="n">
        <v>3</v>
      </c>
      <c r="AM1466" t="n">
        <v>3</v>
      </c>
      <c r="AN1466" t="n">
        <v>1</v>
      </c>
      <c r="AO1466" t="n">
        <v>1</v>
      </c>
      <c r="AP1466" t="inlineStr">
        <is>
          <t>No</t>
        </is>
      </c>
      <c r="AQ1466" t="inlineStr">
        <is>
          <t>No</t>
        </is>
      </c>
      <c r="AS1466">
        <f>HYPERLINK("https://creighton-primo.hosted.exlibrisgroup.com/primo-explore/search?tab=default_tab&amp;search_scope=EVERYTHING&amp;vid=01CRU&amp;lang=en_US&amp;offset=0&amp;query=any,contains,991002444969702656","Catalog Record")</f>
        <v/>
      </c>
      <c r="AT1466">
        <f>HYPERLINK("http://www.worldcat.org/oclc/31899925","WorldCat Record")</f>
        <v/>
      </c>
      <c r="AU1466" t="inlineStr">
        <is>
          <t>350410335:eng</t>
        </is>
      </c>
      <c r="AV1466" t="inlineStr">
        <is>
          <t>31899925</t>
        </is>
      </c>
      <c r="AW1466" t="inlineStr">
        <is>
          <t>991002444969702656</t>
        </is>
      </c>
      <c r="AX1466" t="inlineStr">
        <is>
          <t>991002444969702656</t>
        </is>
      </c>
      <c r="AY1466" t="inlineStr">
        <is>
          <t>2266956270002656</t>
        </is>
      </c>
      <c r="AZ1466" t="inlineStr">
        <is>
          <t>BOOK</t>
        </is>
      </c>
      <c r="BB1466" t="inlineStr">
        <is>
          <t>9780803957008</t>
        </is>
      </c>
      <c r="BC1466" t="inlineStr">
        <is>
          <t>32285002101706</t>
        </is>
      </c>
      <c r="BD1466" t="inlineStr">
        <is>
          <t>893622290</t>
        </is>
      </c>
    </row>
    <row r="1467">
      <c r="A1467" t="inlineStr">
        <is>
          <t>No</t>
        </is>
      </c>
      <c r="B1467" t="inlineStr">
        <is>
          <t>HV95 .P67 1989</t>
        </is>
      </c>
      <c r="C1467" t="inlineStr">
        <is>
          <t>0                      HV 0095000P  67          1989</t>
        </is>
      </c>
      <c r="D1467" t="inlineStr">
        <is>
          <t>Poverty and public policy in modern America / edited by Donald T. Critchlow, Ellis W. Hawley.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L1467" t="inlineStr">
        <is>
          <t>Chicago, Ill. : Dorsey Press, c1989.</t>
        </is>
      </c>
      <c r="M1467" t="inlineStr">
        <is>
          <t>1989</t>
        </is>
      </c>
      <c r="O1467" t="inlineStr">
        <is>
          <t>eng</t>
        </is>
      </c>
      <c r="P1467" t="inlineStr">
        <is>
          <t>ilu</t>
        </is>
      </c>
      <c r="R1467" t="inlineStr">
        <is>
          <t xml:space="preserve">HV </t>
        </is>
      </c>
      <c r="S1467" t="n">
        <v>24</v>
      </c>
      <c r="T1467" t="n">
        <v>24</v>
      </c>
      <c r="U1467" t="inlineStr">
        <is>
          <t>1998-09-27</t>
        </is>
      </c>
      <c r="V1467" t="inlineStr">
        <is>
          <t>1998-09-27</t>
        </is>
      </c>
      <c r="W1467" t="inlineStr">
        <is>
          <t>1990-07-20</t>
        </is>
      </c>
      <c r="X1467" t="inlineStr">
        <is>
          <t>1990-07-20</t>
        </is>
      </c>
      <c r="Y1467" t="n">
        <v>212</v>
      </c>
      <c r="Z1467" t="n">
        <v>190</v>
      </c>
      <c r="AA1467" t="n">
        <v>197</v>
      </c>
      <c r="AB1467" t="n">
        <v>2</v>
      </c>
      <c r="AC1467" t="n">
        <v>2</v>
      </c>
      <c r="AD1467" t="n">
        <v>10</v>
      </c>
      <c r="AE1467" t="n">
        <v>10</v>
      </c>
      <c r="AF1467" t="n">
        <v>3</v>
      </c>
      <c r="AG1467" t="n">
        <v>3</v>
      </c>
      <c r="AH1467" t="n">
        <v>1</v>
      </c>
      <c r="AI1467" t="n">
        <v>1</v>
      </c>
      <c r="AJ1467" t="n">
        <v>7</v>
      </c>
      <c r="AK1467" t="n">
        <v>7</v>
      </c>
      <c r="AL1467" t="n">
        <v>1</v>
      </c>
      <c r="AM1467" t="n">
        <v>1</v>
      </c>
      <c r="AN1467" t="n">
        <v>0</v>
      </c>
      <c r="AO1467" t="n">
        <v>0</v>
      </c>
      <c r="AP1467" t="inlineStr">
        <is>
          <t>No</t>
        </is>
      </c>
      <c r="AQ1467" t="inlineStr">
        <is>
          <t>Yes</t>
        </is>
      </c>
      <c r="AR1467">
        <f>HYPERLINK("http://catalog.hathitrust.org/Record/004500744","HathiTrust Record")</f>
        <v/>
      </c>
      <c r="AS1467">
        <f>HYPERLINK("https://creighton-primo.hosted.exlibrisgroup.com/primo-explore/search?tab=default_tab&amp;search_scope=EVERYTHING&amp;vid=01CRU&amp;lang=en_US&amp;offset=0&amp;query=any,contains,991001366839702656","Catalog Record")</f>
        <v/>
      </c>
      <c r="AT1467">
        <f>HYPERLINK("http://www.worldcat.org/oclc/18559147","WorldCat Record")</f>
        <v/>
      </c>
      <c r="AU1467" t="inlineStr">
        <is>
          <t>17415682:eng</t>
        </is>
      </c>
      <c r="AV1467" t="inlineStr">
        <is>
          <t>18559147</t>
        </is>
      </c>
      <c r="AW1467" t="inlineStr">
        <is>
          <t>991001366839702656</t>
        </is>
      </c>
      <c r="AX1467" t="inlineStr">
        <is>
          <t>991001366839702656</t>
        </is>
      </c>
      <c r="AY1467" t="inlineStr">
        <is>
          <t>2260859310002656</t>
        </is>
      </c>
      <c r="AZ1467" t="inlineStr">
        <is>
          <t>BOOK</t>
        </is>
      </c>
      <c r="BB1467" t="inlineStr">
        <is>
          <t>9780256060249</t>
        </is>
      </c>
      <c r="BC1467" t="inlineStr">
        <is>
          <t>32285000246925</t>
        </is>
      </c>
      <c r="BD1467" t="inlineStr">
        <is>
          <t>893702969</t>
        </is>
      </c>
    </row>
    <row r="1468">
      <c r="A1468" t="inlineStr">
        <is>
          <t>No</t>
        </is>
      </c>
      <c r="B1468" t="inlineStr">
        <is>
          <t>HV95 .P737 1998</t>
        </is>
      </c>
      <c r="C1468" t="inlineStr">
        <is>
          <t>0                      HV 0095000P  737         1998</t>
        </is>
      </c>
      <c r="D1468" t="inlineStr">
        <is>
          <t>The privatization of human services / Margaret Gibelman, Harold W. Demone, Jr., editors.</t>
        </is>
      </c>
      <c r="E1468" t="inlineStr">
        <is>
          <t>V.1</t>
        </is>
      </c>
      <c r="F1468" t="inlineStr">
        <is>
          <t>Yes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L1468" t="inlineStr">
        <is>
          <t>New York : Springer, c1998.</t>
        </is>
      </c>
      <c r="M1468" t="inlineStr">
        <is>
          <t>1998</t>
        </is>
      </c>
      <c r="O1468" t="inlineStr">
        <is>
          <t>eng</t>
        </is>
      </c>
      <c r="P1468" t="inlineStr">
        <is>
          <t>nyu</t>
        </is>
      </c>
      <c r="Q1468" t="inlineStr">
        <is>
          <t>Springer series on social work</t>
        </is>
      </c>
      <c r="R1468" t="inlineStr">
        <is>
          <t xml:space="preserve">HV </t>
        </is>
      </c>
      <c r="S1468" t="n">
        <v>2</v>
      </c>
      <c r="T1468" t="n">
        <v>2</v>
      </c>
      <c r="U1468" t="inlineStr">
        <is>
          <t>2007-04-24</t>
        </is>
      </c>
      <c r="V1468" t="inlineStr">
        <is>
          <t>2007-04-24</t>
        </is>
      </c>
      <c r="W1468" t="inlineStr">
        <is>
          <t>2000-01-24</t>
        </is>
      </c>
      <c r="X1468" t="inlineStr">
        <is>
          <t>2000-01-24</t>
        </is>
      </c>
      <c r="Y1468" t="n">
        <v>263</v>
      </c>
      <c r="Z1468" t="n">
        <v>234</v>
      </c>
      <c r="AA1468" t="n">
        <v>240</v>
      </c>
      <c r="AB1468" t="n">
        <v>1</v>
      </c>
      <c r="AC1468" t="n">
        <v>1</v>
      </c>
      <c r="AD1468" t="n">
        <v>12</v>
      </c>
      <c r="AE1468" t="n">
        <v>12</v>
      </c>
      <c r="AF1468" t="n">
        <v>5</v>
      </c>
      <c r="AG1468" t="n">
        <v>5</v>
      </c>
      <c r="AH1468" t="n">
        <v>3</v>
      </c>
      <c r="AI1468" t="n">
        <v>3</v>
      </c>
      <c r="AJ1468" t="n">
        <v>9</v>
      </c>
      <c r="AK1468" t="n">
        <v>9</v>
      </c>
      <c r="AL1468" t="n">
        <v>0</v>
      </c>
      <c r="AM1468" t="n">
        <v>0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HYPERLINK("https://creighton-primo.hosted.exlibrisgroup.com/primo-explore/search?tab=default_tab&amp;search_scope=EVERYTHING&amp;vid=01CRU&amp;lang=en_US&amp;offset=0&amp;query=any,contains,991002831229702656","Catalog Record")</f>
        <v/>
      </c>
      <c r="AT1468">
        <f>HYPERLINK("http://www.worldcat.org/oclc/37281705","WorldCat Record")</f>
        <v/>
      </c>
      <c r="AU1468" t="inlineStr">
        <is>
          <t>629202:eng</t>
        </is>
      </c>
      <c r="AV1468" t="inlineStr">
        <is>
          <t>37281705</t>
        </is>
      </c>
      <c r="AW1468" t="inlineStr">
        <is>
          <t>991002831229702656</t>
        </is>
      </c>
      <c r="AX1468" t="inlineStr">
        <is>
          <t>991002831229702656</t>
        </is>
      </c>
      <c r="AY1468" t="inlineStr">
        <is>
          <t>2258058190002656</t>
        </is>
      </c>
      <c r="AZ1468" t="inlineStr">
        <is>
          <t>BOOK</t>
        </is>
      </c>
      <c r="BB1468" t="inlineStr">
        <is>
          <t>9780826198709</t>
        </is>
      </c>
      <c r="BC1468" t="inlineStr">
        <is>
          <t>32285003643599</t>
        </is>
      </c>
      <c r="BD1468" t="inlineStr">
        <is>
          <t>893886789</t>
        </is>
      </c>
    </row>
    <row r="1469">
      <c r="A1469" t="inlineStr">
        <is>
          <t>No</t>
        </is>
      </c>
      <c r="B1469" t="inlineStr">
        <is>
          <t>HV95 .P7372 2006</t>
        </is>
      </c>
      <c r="C1469" t="inlineStr">
        <is>
          <t>0                      HV 0095000P  7372        2006</t>
        </is>
      </c>
      <c r="D1469" t="inlineStr">
        <is>
          <t>The promise of welfare reform : political rhetoric and the reality of poverty in the twenty-first century / Keith M. Kilty, Elizabeth A. Segal, editors.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New York : Haworth Press, c2006.</t>
        </is>
      </c>
      <c r="M1469" t="inlineStr">
        <is>
          <t>2006</t>
        </is>
      </c>
      <c r="O1469" t="inlineStr">
        <is>
          <t>eng</t>
        </is>
      </c>
      <c r="P1469" t="inlineStr">
        <is>
          <t>nyu</t>
        </is>
      </c>
      <c r="R1469" t="inlineStr">
        <is>
          <t xml:space="preserve">HV </t>
        </is>
      </c>
      <c r="S1469" t="n">
        <v>3</v>
      </c>
      <c r="T1469" t="n">
        <v>3</v>
      </c>
      <c r="U1469" t="inlineStr">
        <is>
          <t>2008-04-10</t>
        </is>
      </c>
      <c r="V1469" t="inlineStr">
        <is>
          <t>2008-04-10</t>
        </is>
      </c>
      <c r="W1469" t="inlineStr">
        <is>
          <t>2006-10-10</t>
        </is>
      </c>
      <c r="X1469" t="inlineStr">
        <is>
          <t>2006-10-10</t>
        </is>
      </c>
      <c r="Y1469" t="n">
        <v>277</v>
      </c>
      <c r="Z1469" t="n">
        <v>226</v>
      </c>
      <c r="AA1469" t="n">
        <v>255</v>
      </c>
      <c r="AB1469" t="n">
        <v>2</v>
      </c>
      <c r="AC1469" t="n">
        <v>2</v>
      </c>
      <c r="AD1469" t="n">
        <v>8</v>
      </c>
      <c r="AE1469" t="n">
        <v>8</v>
      </c>
      <c r="AF1469" t="n">
        <v>2</v>
      </c>
      <c r="AG1469" t="n">
        <v>2</v>
      </c>
      <c r="AH1469" t="n">
        <v>2</v>
      </c>
      <c r="AI1469" t="n">
        <v>2</v>
      </c>
      <c r="AJ1469" t="n">
        <v>6</v>
      </c>
      <c r="AK1469" t="n">
        <v>6</v>
      </c>
      <c r="AL1469" t="n">
        <v>1</v>
      </c>
      <c r="AM1469" t="n">
        <v>1</v>
      </c>
      <c r="AN1469" t="n">
        <v>0</v>
      </c>
      <c r="AO1469" t="n">
        <v>0</v>
      </c>
      <c r="AP1469" t="inlineStr">
        <is>
          <t>No</t>
        </is>
      </c>
      <c r="AQ1469" t="inlineStr">
        <is>
          <t>Yes</t>
        </is>
      </c>
      <c r="AR1469">
        <f>HYPERLINK("http://catalog.hathitrust.org/Record/005234527","HathiTrust Record")</f>
        <v/>
      </c>
      <c r="AS1469">
        <f>HYPERLINK("https://creighton-primo.hosted.exlibrisgroup.com/primo-explore/search?tab=default_tab&amp;search_scope=EVERYTHING&amp;vid=01CRU&amp;lang=en_US&amp;offset=0&amp;query=any,contains,991004924519702656","Catalog Record")</f>
        <v/>
      </c>
      <c r="AT1469">
        <f>HYPERLINK("http://www.worldcat.org/oclc/61261274","WorldCat Record")</f>
        <v/>
      </c>
      <c r="AU1469" t="inlineStr">
        <is>
          <t>894493551:eng</t>
        </is>
      </c>
      <c r="AV1469" t="inlineStr">
        <is>
          <t>61261274</t>
        </is>
      </c>
      <c r="AW1469" t="inlineStr">
        <is>
          <t>991004924519702656</t>
        </is>
      </c>
      <c r="AX1469" t="inlineStr">
        <is>
          <t>991004924519702656</t>
        </is>
      </c>
      <c r="AY1469" t="inlineStr">
        <is>
          <t>2266956330002656</t>
        </is>
      </c>
      <c r="AZ1469" t="inlineStr">
        <is>
          <t>BOOK</t>
        </is>
      </c>
      <c r="BB1469" t="inlineStr">
        <is>
          <t>9780789029218</t>
        </is>
      </c>
      <c r="BC1469" t="inlineStr">
        <is>
          <t>32285005228217</t>
        </is>
      </c>
      <c r="BD1469" t="inlineStr">
        <is>
          <t>893412082</t>
        </is>
      </c>
    </row>
    <row r="1470">
      <c r="A1470" t="inlineStr">
        <is>
          <t>No</t>
        </is>
      </c>
      <c r="B1470" t="inlineStr">
        <is>
          <t>HV95 .R45</t>
        </is>
      </c>
      <c r="C1470" t="inlineStr">
        <is>
          <t>0                      HV 0095000R  45</t>
        </is>
      </c>
      <c r="D1470" t="inlineStr">
        <is>
          <t>The impact of social welfare policies in the United States/ by Robert D. Reischauer ; with a commentary by Jack A. Meyer ; edited by Edgar R. Fiedler.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K1470" t="inlineStr">
        <is>
          <t>Reischauer, Robert D. (Robert Danton), 1941-</t>
        </is>
      </c>
      <c r="L1470" t="inlineStr">
        <is>
          <t>[New York, N.Y.] : Conference Board, [c1982]</t>
        </is>
      </c>
      <c r="M1470" t="inlineStr">
        <is>
          <t>1982</t>
        </is>
      </c>
      <c r="O1470" t="inlineStr">
        <is>
          <t>eng</t>
        </is>
      </c>
      <c r="P1470" t="inlineStr">
        <is>
          <t>nyu</t>
        </is>
      </c>
      <c r="Q1470" t="inlineStr">
        <is>
          <t>Report/The Conference Board ; no. 823.</t>
        </is>
      </c>
      <c r="R1470" t="inlineStr">
        <is>
          <t xml:space="preserve">HV </t>
        </is>
      </c>
      <c r="S1470" t="n">
        <v>15</v>
      </c>
      <c r="T1470" t="n">
        <v>15</v>
      </c>
      <c r="U1470" t="inlineStr">
        <is>
          <t>1999-11-14</t>
        </is>
      </c>
      <c r="V1470" t="inlineStr">
        <is>
          <t>1999-11-14</t>
        </is>
      </c>
      <c r="W1470" t="inlineStr">
        <is>
          <t>1993-05-17</t>
        </is>
      </c>
      <c r="X1470" t="inlineStr">
        <is>
          <t>1993-05-17</t>
        </is>
      </c>
      <c r="Y1470" t="n">
        <v>292</v>
      </c>
      <c r="Z1470" t="n">
        <v>260</v>
      </c>
      <c r="AA1470" t="n">
        <v>268</v>
      </c>
      <c r="AB1470" t="n">
        <v>2</v>
      </c>
      <c r="AC1470" t="n">
        <v>2</v>
      </c>
      <c r="AD1470" t="n">
        <v>13</v>
      </c>
      <c r="AE1470" t="n">
        <v>13</v>
      </c>
      <c r="AF1470" t="n">
        <v>5</v>
      </c>
      <c r="AG1470" t="n">
        <v>5</v>
      </c>
      <c r="AH1470" t="n">
        <v>4</v>
      </c>
      <c r="AI1470" t="n">
        <v>4</v>
      </c>
      <c r="AJ1470" t="n">
        <v>8</v>
      </c>
      <c r="AK1470" t="n">
        <v>8</v>
      </c>
      <c r="AL1470" t="n">
        <v>1</v>
      </c>
      <c r="AM1470" t="n">
        <v>1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Yes</t>
        </is>
      </c>
      <c r="AR1470">
        <f>HYPERLINK("http://catalog.hathitrust.org/Record/009909546","HathiTrust Record")</f>
        <v/>
      </c>
      <c r="AS1470">
        <f>HYPERLINK("https://creighton-primo.hosted.exlibrisgroup.com/primo-explore/search?tab=default_tab&amp;search_scope=EVERYTHING&amp;vid=01CRU&amp;lang=en_US&amp;offset=0&amp;query=any,contains,991000039569702656","Catalog Record")</f>
        <v/>
      </c>
      <c r="AT1470">
        <f>HYPERLINK("http://www.worldcat.org/oclc/8634970","WorldCat Record")</f>
        <v/>
      </c>
      <c r="AU1470" t="inlineStr">
        <is>
          <t>32669698:eng</t>
        </is>
      </c>
      <c r="AV1470" t="inlineStr">
        <is>
          <t>8634970</t>
        </is>
      </c>
      <c r="AW1470" t="inlineStr">
        <is>
          <t>991000039569702656</t>
        </is>
      </c>
      <c r="AX1470" t="inlineStr">
        <is>
          <t>991000039569702656</t>
        </is>
      </c>
      <c r="AY1470" t="inlineStr">
        <is>
          <t>2266906500002656</t>
        </is>
      </c>
      <c r="AZ1470" t="inlineStr">
        <is>
          <t>BOOK</t>
        </is>
      </c>
      <c r="BB1470" t="inlineStr">
        <is>
          <t>9780823702602</t>
        </is>
      </c>
      <c r="BC1470" t="inlineStr">
        <is>
          <t>32285001680924</t>
        </is>
      </c>
      <c r="BD1470" t="inlineStr">
        <is>
          <t>893695531</t>
        </is>
      </c>
    </row>
    <row r="1471">
      <c r="A1471" t="inlineStr">
        <is>
          <t>No</t>
        </is>
      </c>
      <c r="B1471" t="inlineStr">
        <is>
          <t>HV95 .R515 2005</t>
        </is>
      </c>
      <c r="C1471" t="inlineStr">
        <is>
          <t>0                      HV 0095000R  515         2005</t>
        </is>
      </c>
      <c r="D1471" t="inlineStr">
        <is>
          <t>How management matters : street-level bureaucrats and welfare reform / Norma M. Riccucci.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K1471" t="inlineStr">
        <is>
          <t>Riccucci, Norma.</t>
        </is>
      </c>
      <c r="L1471" t="inlineStr">
        <is>
          <t>Washington, D.C. : Georgetown University Press, 2005.</t>
        </is>
      </c>
      <c r="M1471" t="inlineStr">
        <is>
          <t>2005</t>
        </is>
      </c>
      <c r="O1471" t="inlineStr">
        <is>
          <t>eng</t>
        </is>
      </c>
      <c r="P1471" t="inlineStr">
        <is>
          <t>dcu</t>
        </is>
      </c>
      <c r="Q1471" t="inlineStr">
        <is>
          <t>Public management and change</t>
        </is>
      </c>
      <c r="R1471" t="inlineStr">
        <is>
          <t xml:space="preserve">HV </t>
        </is>
      </c>
      <c r="S1471" t="n">
        <v>1</v>
      </c>
      <c r="T1471" t="n">
        <v>1</v>
      </c>
      <c r="U1471" t="inlineStr">
        <is>
          <t>2006-09-26</t>
        </is>
      </c>
      <c r="V1471" t="inlineStr">
        <is>
          <t>2006-09-26</t>
        </is>
      </c>
      <c r="W1471" t="inlineStr">
        <is>
          <t>2006-09-26</t>
        </is>
      </c>
      <c r="X1471" t="inlineStr">
        <is>
          <t>2006-09-26</t>
        </is>
      </c>
      <c r="Y1471" t="n">
        <v>256</v>
      </c>
      <c r="Z1471" t="n">
        <v>210</v>
      </c>
      <c r="AA1471" t="n">
        <v>210</v>
      </c>
      <c r="AB1471" t="n">
        <v>2</v>
      </c>
      <c r="AC1471" t="n">
        <v>2</v>
      </c>
      <c r="AD1471" t="n">
        <v>7</v>
      </c>
      <c r="AE1471" t="n">
        <v>7</v>
      </c>
      <c r="AF1471" t="n">
        <v>1</v>
      </c>
      <c r="AG1471" t="n">
        <v>1</v>
      </c>
      <c r="AH1471" t="n">
        <v>2</v>
      </c>
      <c r="AI1471" t="n">
        <v>2</v>
      </c>
      <c r="AJ1471" t="n">
        <v>6</v>
      </c>
      <c r="AK1471" t="n">
        <v>6</v>
      </c>
      <c r="AL1471" t="n">
        <v>1</v>
      </c>
      <c r="AM1471" t="n">
        <v>1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HYPERLINK("https://creighton-primo.hosted.exlibrisgroup.com/primo-explore/search?tab=default_tab&amp;search_scope=EVERYTHING&amp;vid=01CRU&amp;lang=en_US&amp;offset=0&amp;query=any,contains,991004910919702656","Catalog Record")</f>
        <v/>
      </c>
      <c r="AT1471">
        <f>HYPERLINK("http://www.worldcat.org/oclc/56617214","WorldCat Record")</f>
        <v/>
      </c>
      <c r="AU1471" t="inlineStr">
        <is>
          <t>17284083:eng</t>
        </is>
      </c>
      <c r="AV1471" t="inlineStr">
        <is>
          <t>56617214</t>
        </is>
      </c>
      <c r="AW1471" t="inlineStr">
        <is>
          <t>991004910919702656</t>
        </is>
      </c>
      <c r="AX1471" t="inlineStr">
        <is>
          <t>991004910919702656</t>
        </is>
      </c>
      <c r="AY1471" t="inlineStr">
        <is>
          <t>2256850410002656</t>
        </is>
      </c>
      <c r="AZ1471" t="inlineStr">
        <is>
          <t>BOOK</t>
        </is>
      </c>
      <c r="BB1471" t="inlineStr">
        <is>
          <t>9781589010413</t>
        </is>
      </c>
      <c r="BC1471" t="inlineStr">
        <is>
          <t>32285005225817</t>
        </is>
      </c>
      <c r="BD1471" t="inlineStr">
        <is>
          <t>893612896</t>
        </is>
      </c>
    </row>
    <row r="1472">
      <c r="A1472" t="inlineStr">
        <is>
          <t>No</t>
        </is>
      </c>
      <c r="B1472" t="inlineStr">
        <is>
          <t>HV95 .S25</t>
        </is>
      </c>
      <c r="C1472" t="inlineStr">
        <is>
          <t>0                      HV 0095000S  25</t>
        </is>
      </c>
      <c r="D1472" t="inlineStr">
        <is>
          <t>Welfare of the poor / Mary Bryna Sanger.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K1472" t="inlineStr">
        <is>
          <t>Sanger, Mary Bryna.</t>
        </is>
      </c>
      <c r="L1472" t="inlineStr">
        <is>
          <t>New York : Academic Press, c1979.</t>
        </is>
      </c>
      <c r="M1472" t="inlineStr">
        <is>
          <t>1979</t>
        </is>
      </c>
      <c r="O1472" t="inlineStr">
        <is>
          <t>eng</t>
        </is>
      </c>
      <c r="P1472" t="inlineStr">
        <is>
          <t>nyu</t>
        </is>
      </c>
      <c r="R1472" t="inlineStr">
        <is>
          <t xml:space="preserve">HV </t>
        </is>
      </c>
      <c r="S1472" t="n">
        <v>8</v>
      </c>
      <c r="T1472" t="n">
        <v>8</v>
      </c>
      <c r="U1472" t="inlineStr">
        <is>
          <t>1996-04-01</t>
        </is>
      </c>
      <c r="V1472" t="inlineStr">
        <is>
          <t>1996-04-01</t>
        </is>
      </c>
      <c r="W1472" t="inlineStr">
        <is>
          <t>1990-07-20</t>
        </is>
      </c>
      <c r="X1472" t="inlineStr">
        <is>
          <t>1990-07-20</t>
        </is>
      </c>
      <c r="Y1472" t="n">
        <v>374</v>
      </c>
      <c r="Z1472" t="n">
        <v>295</v>
      </c>
      <c r="AA1472" t="n">
        <v>329</v>
      </c>
      <c r="AB1472" t="n">
        <v>4</v>
      </c>
      <c r="AC1472" t="n">
        <v>4</v>
      </c>
      <c r="AD1472" t="n">
        <v>19</v>
      </c>
      <c r="AE1472" t="n">
        <v>20</v>
      </c>
      <c r="AF1472" t="n">
        <v>5</v>
      </c>
      <c r="AG1472" t="n">
        <v>6</v>
      </c>
      <c r="AH1472" t="n">
        <v>6</v>
      </c>
      <c r="AI1472" t="n">
        <v>6</v>
      </c>
      <c r="AJ1472" t="n">
        <v>8</v>
      </c>
      <c r="AK1472" t="n">
        <v>8</v>
      </c>
      <c r="AL1472" t="n">
        <v>3</v>
      </c>
      <c r="AM1472" t="n">
        <v>3</v>
      </c>
      <c r="AN1472" t="n">
        <v>2</v>
      </c>
      <c r="AO1472" t="n">
        <v>2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HYPERLINK("https://creighton-primo.hosted.exlibrisgroup.com/primo-explore/search?tab=default_tab&amp;search_scope=EVERYTHING&amp;vid=01CRU&amp;lang=en_US&amp;offset=0&amp;query=any,contains,991004831769702656","Catalog Record")</f>
        <v/>
      </c>
      <c r="AT1472">
        <f>HYPERLINK("http://www.worldcat.org/oclc/5411562","WorldCat Record")</f>
        <v/>
      </c>
      <c r="AU1472" t="inlineStr">
        <is>
          <t>17307614:eng</t>
        </is>
      </c>
      <c r="AV1472" t="inlineStr">
        <is>
          <t>5411562</t>
        </is>
      </c>
      <c r="AW1472" t="inlineStr">
        <is>
          <t>991004831769702656</t>
        </is>
      </c>
      <c r="AX1472" t="inlineStr">
        <is>
          <t>991004831769702656</t>
        </is>
      </c>
      <c r="AY1472" t="inlineStr">
        <is>
          <t>2258528680002656</t>
        </is>
      </c>
      <c r="AZ1472" t="inlineStr">
        <is>
          <t>BOOK</t>
        </is>
      </c>
      <c r="BB1472" t="inlineStr">
        <is>
          <t>9780126186505</t>
        </is>
      </c>
      <c r="BC1472" t="inlineStr">
        <is>
          <t>32285000246958</t>
        </is>
      </c>
      <c r="BD1472" t="inlineStr">
        <is>
          <t>893594150</t>
        </is>
      </c>
    </row>
    <row r="1473">
      <c r="A1473" t="inlineStr">
        <is>
          <t>No</t>
        </is>
      </c>
      <c r="B1473" t="inlineStr">
        <is>
          <t>HV95 .T36 1996</t>
        </is>
      </c>
      <c r="C1473" t="inlineStr">
        <is>
          <t>0                      HV 0095000T  36          1996</t>
        </is>
      </c>
      <c r="D1473" t="inlineStr">
        <is>
          <t>The end of welfare : fighting poverty in the civil society / Michael Tanner.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K1473" t="inlineStr">
        <is>
          <t>Tanner, Michael, 1956-</t>
        </is>
      </c>
      <c r="L1473" t="inlineStr">
        <is>
          <t>Washington, D.C. : Cato Institute, c1996.</t>
        </is>
      </c>
      <c r="M1473" t="inlineStr">
        <is>
          <t>1996</t>
        </is>
      </c>
      <c r="O1473" t="inlineStr">
        <is>
          <t>eng</t>
        </is>
      </c>
      <c r="P1473" t="inlineStr">
        <is>
          <t>dcu</t>
        </is>
      </c>
      <c r="R1473" t="inlineStr">
        <is>
          <t xml:space="preserve">HV </t>
        </is>
      </c>
      <c r="S1473" t="n">
        <v>13</v>
      </c>
      <c r="T1473" t="n">
        <v>13</v>
      </c>
      <c r="U1473" t="inlineStr">
        <is>
          <t>2006-04-05</t>
        </is>
      </c>
      <c r="V1473" t="inlineStr">
        <is>
          <t>2006-04-05</t>
        </is>
      </c>
      <c r="W1473" t="inlineStr">
        <is>
          <t>1997-06-03</t>
        </is>
      </c>
      <c r="X1473" t="inlineStr">
        <is>
          <t>1997-06-03</t>
        </is>
      </c>
      <c r="Y1473" t="n">
        <v>537</v>
      </c>
      <c r="Z1473" t="n">
        <v>484</v>
      </c>
      <c r="AA1473" t="n">
        <v>493</v>
      </c>
      <c r="AB1473" t="n">
        <v>1</v>
      </c>
      <c r="AC1473" t="n">
        <v>1</v>
      </c>
      <c r="AD1473" t="n">
        <v>26</v>
      </c>
      <c r="AE1473" t="n">
        <v>26</v>
      </c>
      <c r="AF1473" t="n">
        <v>12</v>
      </c>
      <c r="AG1473" t="n">
        <v>12</v>
      </c>
      <c r="AH1473" t="n">
        <v>6</v>
      </c>
      <c r="AI1473" t="n">
        <v>6</v>
      </c>
      <c r="AJ1473" t="n">
        <v>16</v>
      </c>
      <c r="AK1473" t="n">
        <v>16</v>
      </c>
      <c r="AL1473" t="n">
        <v>0</v>
      </c>
      <c r="AM1473" t="n">
        <v>0</v>
      </c>
      <c r="AN1473" t="n">
        <v>1</v>
      </c>
      <c r="AO1473" t="n">
        <v>1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HYPERLINK("http://catalog.hathitrust.org/Record/003112503","HathiTrust Record")</f>
        <v/>
      </c>
      <c r="AS1473">
        <f>HYPERLINK("https://creighton-primo.hosted.exlibrisgroup.com/primo-explore/search?tab=default_tab&amp;search_scope=EVERYTHING&amp;vid=01CRU&amp;lang=en_US&amp;offset=0&amp;query=any,contains,991002707019702656","Catalog Record")</f>
        <v/>
      </c>
      <c r="AT1473">
        <f>HYPERLINK("http://www.worldcat.org/oclc/35360604","WorldCat Record")</f>
        <v/>
      </c>
      <c r="AU1473" t="inlineStr">
        <is>
          <t>20458001:eng</t>
        </is>
      </c>
      <c r="AV1473" t="inlineStr">
        <is>
          <t>35360604</t>
        </is>
      </c>
      <c r="AW1473" t="inlineStr">
        <is>
          <t>991002707019702656</t>
        </is>
      </c>
      <c r="AX1473" t="inlineStr">
        <is>
          <t>991002707019702656</t>
        </is>
      </c>
      <c r="AY1473" t="inlineStr">
        <is>
          <t>2266767810002656</t>
        </is>
      </c>
      <c r="AZ1473" t="inlineStr">
        <is>
          <t>BOOK</t>
        </is>
      </c>
      <c r="BB1473" t="inlineStr">
        <is>
          <t>9781882577378</t>
        </is>
      </c>
      <c r="BC1473" t="inlineStr">
        <is>
          <t>32285002613502</t>
        </is>
      </c>
      <c r="BD1473" t="inlineStr">
        <is>
          <t>893786434</t>
        </is>
      </c>
    </row>
    <row r="1474">
      <c r="A1474" t="inlineStr">
        <is>
          <t>No</t>
        </is>
      </c>
      <c r="B1474" t="inlineStr">
        <is>
          <t>HV95 .W45</t>
        </is>
      </c>
      <c r="C1474" t="inlineStr">
        <is>
          <t>0                      HV 0095000W  45</t>
        </is>
      </c>
      <c r="D1474" t="inlineStr">
        <is>
          <t>Welfare in America : controlling the "dangerous classes" / Betty Reid Mandell, editor.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L1474" t="inlineStr">
        <is>
          <t>Englewood Cliffs, N.J. : Prentice-Hall, c1975.</t>
        </is>
      </c>
      <c r="M1474" t="inlineStr">
        <is>
          <t>1975</t>
        </is>
      </c>
      <c r="O1474" t="inlineStr">
        <is>
          <t>eng</t>
        </is>
      </c>
      <c r="P1474" t="inlineStr">
        <is>
          <t>nju</t>
        </is>
      </c>
      <c r="Q1474" t="inlineStr">
        <is>
          <t>A Spectrum book</t>
        </is>
      </c>
      <c r="R1474" t="inlineStr">
        <is>
          <t xml:space="preserve">HV </t>
        </is>
      </c>
      <c r="S1474" t="n">
        <v>7</v>
      </c>
      <c r="T1474" t="n">
        <v>7</v>
      </c>
      <c r="U1474" t="inlineStr">
        <is>
          <t>1996-04-29</t>
        </is>
      </c>
      <c r="V1474" t="inlineStr">
        <is>
          <t>1996-04-29</t>
        </is>
      </c>
      <c r="W1474" t="inlineStr">
        <is>
          <t>1990-04-10</t>
        </is>
      </c>
      <c r="X1474" t="inlineStr">
        <is>
          <t>1990-04-10</t>
        </is>
      </c>
      <c r="Y1474" t="n">
        <v>703</v>
      </c>
      <c r="Z1474" t="n">
        <v>608</v>
      </c>
      <c r="AA1474" t="n">
        <v>610</v>
      </c>
      <c r="AB1474" t="n">
        <v>5</v>
      </c>
      <c r="AC1474" t="n">
        <v>5</v>
      </c>
      <c r="AD1474" t="n">
        <v>28</v>
      </c>
      <c r="AE1474" t="n">
        <v>28</v>
      </c>
      <c r="AF1474" t="n">
        <v>12</v>
      </c>
      <c r="AG1474" t="n">
        <v>12</v>
      </c>
      <c r="AH1474" t="n">
        <v>6</v>
      </c>
      <c r="AI1474" t="n">
        <v>6</v>
      </c>
      <c r="AJ1474" t="n">
        <v>13</v>
      </c>
      <c r="AK1474" t="n">
        <v>13</v>
      </c>
      <c r="AL1474" t="n">
        <v>4</v>
      </c>
      <c r="AM1474" t="n">
        <v>4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Yes</t>
        </is>
      </c>
      <c r="AR1474">
        <f>HYPERLINK("http://catalog.hathitrust.org/Record/000028031","HathiTrust Record")</f>
        <v/>
      </c>
      <c r="AS1474">
        <f>HYPERLINK("https://creighton-primo.hosted.exlibrisgroup.com/primo-explore/search?tab=default_tab&amp;search_scope=EVERYTHING&amp;vid=01CRU&amp;lang=en_US&amp;offset=0&amp;query=any,contains,991003850139702656","Catalog Record")</f>
        <v/>
      </c>
      <c r="AT1474">
        <f>HYPERLINK("http://www.worldcat.org/oclc/1637886","WorldCat Record")</f>
        <v/>
      </c>
      <c r="AU1474" t="inlineStr">
        <is>
          <t>905857971:eng</t>
        </is>
      </c>
      <c r="AV1474" t="inlineStr">
        <is>
          <t>1637886</t>
        </is>
      </c>
      <c r="AW1474" t="inlineStr">
        <is>
          <t>991003850139702656</t>
        </is>
      </c>
      <c r="AX1474" t="inlineStr">
        <is>
          <t>991003850139702656</t>
        </is>
      </c>
      <c r="AY1474" t="inlineStr">
        <is>
          <t>2263004220002656</t>
        </is>
      </c>
      <c r="AZ1474" t="inlineStr">
        <is>
          <t>BOOK</t>
        </is>
      </c>
      <c r="BB1474" t="inlineStr">
        <is>
          <t>9780139493133</t>
        </is>
      </c>
      <c r="BC1474" t="inlineStr">
        <is>
          <t>32285000102920</t>
        </is>
      </c>
      <c r="BD1474" t="inlineStr">
        <is>
          <t>893506062</t>
        </is>
      </c>
    </row>
    <row r="1475">
      <c r="A1475" t="inlineStr">
        <is>
          <t>No</t>
        </is>
      </c>
      <c r="B1475" t="inlineStr">
        <is>
          <t>HV95 .W4545 1997</t>
        </is>
      </c>
      <c r="C1475" t="inlineStr">
        <is>
          <t>0                      HV 0095000W  4545        1997</t>
        </is>
      </c>
      <c r="D1475" t="inlineStr">
        <is>
          <t>Welfare reform / Charles P. Cozic, book editor.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L1475" t="inlineStr">
        <is>
          <t>San Diego, Calif. : Greenhaven Press, c1997.</t>
        </is>
      </c>
      <c r="M1475" t="inlineStr">
        <is>
          <t>1997</t>
        </is>
      </c>
      <c r="O1475" t="inlineStr">
        <is>
          <t>eng</t>
        </is>
      </c>
      <c r="P1475" t="inlineStr">
        <is>
          <t>cau</t>
        </is>
      </c>
      <c r="Q1475" t="inlineStr">
        <is>
          <t>At issue</t>
        </is>
      </c>
      <c r="R1475" t="inlineStr">
        <is>
          <t xml:space="preserve">HV </t>
        </is>
      </c>
      <c r="S1475" t="n">
        <v>3</v>
      </c>
      <c r="T1475" t="n">
        <v>3</v>
      </c>
      <c r="U1475" t="inlineStr">
        <is>
          <t>2006-04-05</t>
        </is>
      </c>
      <c r="V1475" t="inlineStr">
        <is>
          <t>2006-04-05</t>
        </is>
      </c>
      <c r="W1475" t="inlineStr">
        <is>
          <t>1998-03-20</t>
        </is>
      </c>
      <c r="X1475" t="inlineStr">
        <is>
          <t>1998-03-20</t>
        </is>
      </c>
      <c r="Y1475" t="n">
        <v>528</v>
      </c>
      <c r="Z1475" t="n">
        <v>525</v>
      </c>
      <c r="AA1475" t="n">
        <v>532</v>
      </c>
      <c r="AB1475" t="n">
        <v>3</v>
      </c>
      <c r="AC1475" t="n">
        <v>3</v>
      </c>
      <c r="AD1475" t="n">
        <v>7</v>
      </c>
      <c r="AE1475" t="n">
        <v>7</v>
      </c>
      <c r="AF1475" t="n">
        <v>1</v>
      </c>
      <c r="AG1475" t="n">
        <v>1</v>
      </c>
      <c r="AH1475" t="n">
        <v>0</v>
      </c>
      <c r="AI1475" t="n">
        <v>0</v>
      </c>
      <c r="AJ1475" t="n">
        <v>5</v>
      </c>
      <c r="AK1475" t="n">
        <v>5</v>
      </c>
      <c r="AL1475" t="n">
        <v>1</v>
      </c>
      <c r="AM1475" t="n">
        <v>1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HYPERLINK("https://creighton-primo.hosted.exlibrisgroup.com/primo-explore/search?tab=default_tab&amp;search_scope=EVERYTHING&amp;vid=01CRU&amp;lang=en_US&amp;offset=0&amp;query=any,contains,991002698659702656","Catalog Record")</f>
        <v/>
      </c>
      <c r="AT1475">
        <f>HYPERLINK("http://www.worldcat.org/oclc/35235162","WorldCat Record")</f>
        <v/>
      </c>
      <c r="AU1475" t="inlineStr">
        <is>
          <t>56097024:eng</t>
        </is>
      </c>
      <c r="AV1475" t="inlineStr">
        <is>
          <t>35235162</t>
        </is>
      </c>
      <c r="AW1475" t="inlineStr">
        <is>
          <t>991002698659702656</t>
        </is>
      </c>
      <c r="AX1475" t="inlineStr">
        <is>
          <t>991002698659702656</t>
        </is>
      </c>
      <c r="AY1475" t="inlineStr">
        <is>
          <t>2255024870002656</t>
        </is>
      </c>
      <c r="AZ1475" t="inlineStr">
        <is>
          <t>BOOK</t>
        </is>
      </c>
      <c r="BB1475" t="inlineStr">
        <is>
          <t>9781565105454</t>
        </is>
      </c>
      <c r="BC1475" t="inlineStr">
        <is>
          <t>32285003359196</t>
        </is>
      </c>
      <c r="BD1475" t="inlineStr">
        <is>
          <t>893335604</t>
        </is>
      </c>
    </row>
    <row r="1476">
      <c r="A1476" t="inlineStr">
        <is>
          <t>No</t>
        </is>
      </c>
      <c r="B1476" t="inlineStr">
        <is>
          <t>HV95 .W4547 1999</t>
        </is>
      </c>
      <c r="C1476" t="inlineStr">
        <is>
          <t>0                      HV 0095000W  4547        1999</t>
        </is>
      </c>
      <c r="D1476" t="inlineStr">
        <is>
          <t>Welfare reform : a race to the bottom? / edited by Sanford F. Schram and Samuel H. Beer.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No</t>
        </is>
      </c>
      <c r="J1476" t="inlineStr">
        <is>
          <t>0</t>
        </is>
      </c>
      <c r="L1476" t="inlineStr">
        <is>
          <t>Washington, D.C. : Woodrow Wilson Center Press ; Baltimore : Distributed by Johns Hopkins University Press, c1999.</t>
        </is>
      </c>
      <c r="M1476" t="inlineStr">
        <is>
          <t>1999</t>
        </is>
      </c>
      <c r="O1476" t="inlineStr">
        <is>
          <t>eng</t>
        </is>
      </c>
      <c r="P1476" t="inlineStr">
        <is>
          <t>dcu</t>
        </is>
      </c>
      <c r="R1476" t="inlineStr">
        <is>
          <t xml:space="preserve">HV </t>
        </is>
      </c>
      <c r="S1476" t="n">
        <v>6</v>
      </c>
      <c r="T1476" t="n">
        <v>6</v>
      </c>
      <c r="U1476" t="inlineStr">
        <is>
          <t>2007-03-14</t>
        </is>
      </c>
      <c r="V1476" t="inlineStr">
        <is>
          <t>2007-03-14</t>
        </is>
      </c>
      <c r="W1476" t="inlineStr">
        <is>
          <t>2000-09-13</t>
        </is>
      </c>
      <c r="X1476" t="inlineStr">
        <is>
          <t>2000-09-13</t>
        </is>
      </c>
      <c r="Y1476" t="n">
        <v>302</v>
      </c>
      <c r="Z1476" t="n">
        <v>260</v>
      </c>
      <c r="AA1476" t="n">
        <v>262</v>
      </c>
      <c r="AB1476" t="n">
        <v>3</v>
      </c>
      <c r="AC1476" t="n">
        <v>3</v>
      </c>
      <c r="AD1476" t="n">
        <v>11</v>
      </c>
      <c r="AE1476" t="n">
        <v>11</v>
      </c>
      <c r="AF1476" t="n">
        <v>4</v>
      </c>
      <c r="AG1476" t="n">
        <v>4</v>
      </c>
      <c r="AH1476" t="n">
        <v>1</v>
      </c>
      <c r="AI1476" t="n">
        <v>1</v>
      </c>
      <c r="AJ1476" t="n">
        <v>6</v>
      </c>
      <c r="AK1476" t="n">
        <v>6</v>
      </c>
      <c r="AL1476" t="n">
        <v>2</v>
      </c>
      <c r="AM1476" t="n">
        <v>2</v>
      </c>
      <c r="AN1476" t="n">
        <v>1</v>
      </c>
      <c r="AO1476" t="n">
        <v>1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HYPERLINK("http://catalog.hathitrust.org/Record/004069969","HathiTrust Record")</f>
        <v/>
      </c>
      <c r="AS1476">
        <f>HYPERLINK("https://creighton-primo.hosted.exlibrisgroup.com/primo-explore/search?tab=default_tab&amp;search_scope=EVERYTHING&amp;vid=01CRU&amp;lang=en_US&amp;offset=0&amp;query=any,contains,991003233939702656","Catalog Record")</f>
        <v/>
      </c>
      <c r="AT1476">
        <f>HYPERLINK("http://www.worldcat.org/oclc/42603205","WorldCat Record")</f>
        <v/>
      </c>
      <c r="AU1476" t="inlineStr">
        <is>
          <t>836980351:eng</t>
        </is>
      </c>
      <c r="AV1476" t="inlineStr">
        <is>
          <t>42603205</t>
        </is>
      </c>
      <c r="AW1476" t="inlineStr">
        <is>
          <t>991003233939702656</t>
        </is>
      </c>
      <c r="AX1476" t="inlineStr">
        <is>
          <t>991003233939702656</t>
        </is>
      </c>
      <c r="AY1476" t="inlineStr">
        <is>
          <t>2266238300002656</t>
        </is>
      </c>
      <c r="AZ1476" t="inlineStr">
        <is>
          <t>BOOK</t>
        </is>
      </c>
      <c r="BB1476" t="inlineStr">
        <is>
          <t>9780943875934</t>
        </is>
      </c>
      <c r="BC1476" t="inlineStr">
        <is>
          <t>32285003761649</t>
        </is>
      </c>
      <c r="BD1476" t="inlineStr">
        <is>
          <t>893610839</t>
        </is>
      </c>
    </row>
    <row r="1477">
      <c r="A1477" t="inlineStr">
        <is>
          <t>No</t>
        </is>
      </c>
      <c r="B1477" t="inlineStr">
        <is>
          <t>HV95 .W455 1988</t>
        </is>
      </c>
      <c r="C1477" t="inlineStr">
        <is>
          <t>0                      HV 0095000W  455         1988</t>
        </is>
      </c>
      <c r="D1477" t="inlineStr">
        <is>
          <t>Welfare reform : consensus or conflict? / edited by James S. Denton ; foreword by Daniel P. Moynihan.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L1477" t="inlineStr">
        <is>
          <t>Lanham, MD : University Press of America, c1988.</t>
        </is>
      </c>
      <c r="M1477" t="inlineStr">
        <is>
          <t>1988</t>
        </is>
      </c>
      <c r="O1477" t="inlineStr">
        <is>
          <t>eng</t>
        </is>
      </c>
      <c r="P1477" t="inlineStr">
        <is>
          <t>mdu</t>
        </is>
      </c>
      <c r="R1477" t="inlineStr">
        <is>
          <t xml:space="preserve">HV </t>
        </is>
      </c>
      <c r="S1477" t="n">
        <v>18</v>
      </c>
      <c r="T1477" t="n">
        <v>18</v>
      </c>
      <c r="U1477" t="inlineStr">
        <is>
          <t>1997-10-15</t>
        </is>
      </c>
      <c r="V1477" t="inlineStr">
        <is>
          <t>1997-10-15</t>
        </is>
      </c>
      <c r="W1477" t="inlineStr">
        <is>
          <t>1990-07-20</t>
        </is>
      </c>
      <c r="X1477" t="inlineStr">
        <is>
          <t>1990-07-20</t>
        </is>
      </c>
      <c r="Y1477" t="n">
        <v>218</v>
      </c>
      <c r="Z1477" t="n">
        <v>182</v>
      </c>
      <c r="AA1477" t="n">
        <v>184</v>
      </c>
      <c r="AB1477" t="n">
        <v>3</v>
      </c>
      <c r="AC1477" t="n">
        <v>3</v>
      </c>
      <c r="AD1477" t="n">
        <v>12</v>
      </c>
      <c r="AE1477" t="n">
        <v>12</v>
      </c>
      <c r="AF1477" t="n">
        <v>4</v>
      </c>
      <c r="AG1477" t="n">
        <v>4</v>
      </c>
      <c r="AH1477" t="n">
        <v>1</v>
      </c>
      <c r="AI1477" t="n">
        <v>1</v>
      </c>
      <c r="AJ1477" t="n">
        <v>4</v>
      </c>
      <c r="AK1477" t="n">
        <v>4</v>
      </c>
      <c r="AL1477" t="n">
        <v>2</v>
      </c>
      <c r="AM1477" t="n">
        <v>2</v>
      </c>
      <c r="AN1477" t="n">
        <v>2</v>
      </c>
      <c r="AO1477" t="n">
        <v>2</v>
      </c>
      <c r="AP1477" t="inlineStr">
        <is>
          <t>No</t>
        </is>
      </c>
      <c r="AQ1477" t="inlineStr">
        <is>
          <t>Yes</t>
        </is>
      </c>
      <c r="AR1477">
        <f>HYPERLINK("http://catalog.hathitrust.org/Record/000927035","HathiTrust Record")</f>
        <v/>
      </c>
      <c r="AS1477">
        <f>HYPERLINK("https://creighton-primo.hosted.exlibrisgroup.com/primo-explore/search?tab=default_tab&amp;search_scope=EVERYTHING&amp;vid=01CRU&amp;lang=en_US&amp;offset=0&amp;query=any,contains,991001285539702656","Catalog Record")</f>
        <v/>
      </c>
      <c r="AT1477">
        <f>HYPERLINK("http://www.worldcat.org/oclc/17953844","WorldCat Record")</f>
        <v/>
      </c>
      <c r="AU1477" t="inlineStr">
        <is>
          <t>836749454:eng</t>
        </is>
      </c>
      <c r="AV1477" t="inlineStr">
        <is>
          <t>17953844</t>
        </is>
      </c>
      <c r="AW1477" t="inlineStr">
        <is>
          <t>991001285539702656</t>
        </is>
      </c>
      <c r="AX1477" t="inlineStr">
        <is>
          <t>991001285539702656</t>
        </is>
      </c>
      <c r="AY1477" t="inlineStr">
        <is>
          <t>2271872780002656</t>
        </is>
      </c>
      <c r="AZ1477" t="inlineStr">
        <is>
          <t>BOOK</t>
        </is>
      </c>
      <c r="BB1477" t="inlineStr">
        <is>
          <t>9780819169037</t>
        </is>
      </c>
      <c r="BC1477" t="inlineStr">
        <is>
          <t>32285000246982</t>
        </is>
      </c>
      <c r="BD1477" t="inlineStr">
        <is>
          <t>893684222</t>
        </is>
      </c>
    </row>
    <row r="1478">
      <c r="A1478" t="inlineStr">
        <is>
          <t>No</t>
        </is>
      </c>
      <c r="B1478" t="inlineStr">
        <is>
          <t>HV95 .W462 2002</t>
        </is>
      </c>
      <c r="C1478" t="inlineStr">
        <is>
          <t>0                      HV 0095000W  462         2002</t>
        </is>
      </c>
      <c r="D1478" t="inlineStr">
        <is>
          <t>Welfare reform : the next act / edited by Alan Weil and Kenneth Finegold.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L1478" t="inlineStr">
        <is>
          <t>Washington, D.C. : Urban Institute Press, c2002.</t>
        </is>
      </c>
      <c r="M1478" t="inlineStr">
        <is>
          <t>2002</t>
        </is>
      </c>
      <c r="O1478" t="inlineStr">
        <is>
          <t>eng</t>
        </is>
      </c>
      <c r="P1478" t="inlineStr">
        <is>
          <t>dcu</t>
        </is>
      </c>
      <c r="R1478" t="inlineStr">
        <is>
          <t xml:space="preserve">HV </t>
        </is>
      </c>
      <c r="S1478" t="n">
        <v>2</v>
      </c>
      <c r="T1478" t="n">
        <v>2</v>
      </c>
      <c r="U1478" t="inlineStr">
        <is>
          <t>2007-03-14</t>
        </is>
      </c>
      <c r="V1478" t="inlineStr">
        <is>
          <t>2007-03-14</t>
        </is>
      </c>
      <c r="W1478" t="inlineStr">
        <is>
          <t>2003-02-20</t>
        </is>
      </c>
      <c r="X1478" t="inlineStr">
        <is>
          <t>2003-02-20</t>
        </is>
      </c>
      <c r="Y1478" t="n">
        <v>489</v>
      </c>
      <c r="Z1478" t="n">
        <v>453</v>
      </c>
      <c r="AA1478" t="n">
        <v>455</v>
      </c>
      <c r="AB1478" t="n">
        <v>3</v>
      </c>
      <c r="AC1478" t="n">
        <v>3</v>
      </c>
      <c r="AD1478" t="n">
        <v>27</v>
      </c>
      <c r="AE1478" t="n">
        <v>27</v>
      </c>
      <c r="AF1478" t="n">
        <v>11</v>
      </c>
      <c r="AG1478" t="n">
        <v>11</v>
      </c>
      <c r="AH1478" t="n">
        <v>8</v>
      </c>
      <c r="AI1478" t="n">
        <v>8</v>
      </c>
      <c r="AJ1478" t="n">
        <v>12</v>
      </c>
      <c r="AK1478" t="n">
        <v>12</v>
      </c>
      <c r="AL1478" t="n">
        <v>2</v>
      </c>
      <c r="AM1478" t="n">
        <v>2</v>
      </c>
      <c r="AN1478" t="n">
        <v>1</v>
      </c>
      <c r="AO1478" t="n">
        <v>1</v>
      </c>
      <c r="AP1478" t="inlineStr">
        <is>
          <t>No</t>
        </is>
      </c>
      <c r="AQ1478" t="inlineStr">
        <is>
          <t>Yes</t>
        </is>
      </c>
      <c r="AR1478">
        <f>HYPERLINK("http://catalog.hathitrust.org/Record/004236716","HathiTrust Record")</f>
        <v/>
      </c>
      <c r="AS1478">
        <f>HYPERLINK("https://creighton-primo.hosted.exlibrisgroup.com/primo-explore/search?tab=default_tab&amp;search_scope=EVERYTHING&amp;vid=01CRU&amp;lang=en_US&amp;offset=0&amp;query=any,contains,991003952289702656","Catalog Record")</f>
        <v/>
      </c>
      <c r="AT1478">
        <f>HYPERLINK("http://www.worldcat.org/oclc/49031152","WorldCat Record")</f>
        <v/>
      </c>
      <c r="AU1478" t="inlineStr">
        <is>
          <t>376393963:eng</t>
        </is>
      </c>
      <c r="AV1478" t="inlineStr">
        <is>
          <t>49031152</t>
        </is>
      </c>
      <c r="AW1478" t="inlineStr">
        <is>
          <t>991003952289702656</t>
        </is>
      </c>
      <c r="AX1478" t="inlineStr">
        <is>
          <t>991003952289702656</t>
        </is>
      </c>
      <c r="AY1478" t="inlineStr">
        <is>
          <t>2258253120002656</t>
        </is>
      </c>
      <c r="AZ1478" t="inlineStr">
        <is>
          <t>BOOK</t>
        </is>
      </c>
      <c r="BB1478" t="inlineStr">
        <is>
          <t>9780877667100</t>
        </is>
      </c>
      <c r="BC1478" t="inlineStr">
        <is>
          <t>32285004699848</t>
        </is>
      </c>
      <c r="BD1478" t="inlineStr">
        <is>
          <t>893900608</t>
        </is>
      </c>
    </row>
    <row r="1479">
      <c r="A1479" t="inlineStr">
        <is>
          <t>No</t>
        </is>
      </c>
      <c r="B1479" t="inlineStr">
        <is>
          <t>HV9557.5.R63 A3 1995</t>
        </is>
      </c>
      <c r="C1479" t="inlineStr">
        <is>
          <t>0                      HV 9557500R  63                 A  3           1995</t>
        </is>
      </c>
      <c r="D1479" t="inlineStr">
        <is>
          <t>Diary of a survivor : nineteen years in a Cuban women's prison / by Ana Rodríguez and Glenn Garvin.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K1479" t="inlineStr">
        <is>
          <t>Rodríguez, Ana.</t>
        </is>
      </c>
      <c r="L1479" t="inlineStr">
        <is>
          <t>New York : St. Martin's Press, 1995.</t>
        </is>
      </c>
      <c r="M1479" t="inlineStr">
        <is>
          <t>1995</t>
        </is>
      </c>
      <c r="N1479" t="inlineStr">
        <is>
          <t>1st ed.</t>
        </is>
      </c>
      <c r="O1479" t="inlineStr">
        <is>
          <t>eng</t>
        </is>
      </c>
      <c r="P1479" t="inlineStr">
        <is>
          <t>nyu</t>
        </is>
      </c>
      <c r="R1479" t="inlineStr">
        <is>
          <t xml:space="preserve">HV </t>
        </is>
      </c>
      <c r="S1479" t="n">
        <v>2</v>
      </c>
      <c r="T1479" t="n">
        <v>2</v>
      </c>
      <c r="U1479" t="inlineStr">
        <is>
          <t>2008-09-09</t>
        </is>
      </c>
      <c r="V1479" t="inlineStr">
        <is>
          <t>2008-09-09</t>
        </is>
      </c>
      <c r="W1479" t="inlineStr">
        <is>
          <t>1996-02-22</t>
        </is>
      </c>
      <c r="X1479" t="inlineStr">
        <is>
          <t>1996-02-22</t>
        </is>
      </c>
      <c r="Y1479" t="n">
        <v>422</v>
      </c>
      <c r="Z1479" t="n">
        <v>398</v>
      </c>
      <c r="AA1479" t="n">
        <v>399</v>
      </c>
      <c r="AB1479" t="n">
        <v>2</v>
      </c>
      <c r="AC1479" t="n">
        <v>2</v>
      </c>
      <c r="AD1479" t="n">
        <v>8</v>
      </c>
      <c r="AE1479" t="n">
        <v>8</v>
      </c>
      <c r="AF1479" t="n">
        <v>1</v>
      </c>
      <c r="AG1479" t="n">
        <v>1</v>
      </c>
      <c r="AH1479" t="n">
        <v>3</v>
      </c>
      <c r="AI1479" t="n">
        <v>3</v>
      </c>
      <c r="AJ1479" t="n">
        <v>5</v>
      </c>
      <c r="AK1479" t="n">
        <v>5</v>
      </c>
      <c r="AL1479" t="n">
        <v>1</v>
      </c>
      <c r="AM1479" t="n">
        <v>1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No</t>
        </is>
      </c>
      <c r="AS1479">
        <f>HYPERLINK("https://creighton-primo.hosted.exlibrisgroup.com/primo-explore/search?tab=default_tab&amp;search_scope=EVERYTHING&amp;vid=01CRU&amp;lang=en_US&amp;offset=0&amp;query=any,contains,991002468639702656","Catalog Record")</f>
        <v/>
      </c>
      <c r="AT1479">
        <f>HYPERLINK("http://www.worldcat.org/oclc/32166387","WorldCat Record")</f>
        <v/>
      </c>
      <c r="AU1479" t="inlineStr">
        <is>
          <t>34017829:eng</t>
        </is>
      </c>
      <c r="AV1479" t="inlineStr">
        <is>
          <t>32166387</t>
        </is>
      </c>
      <c r="AW1479" t="inlineStr">
        <is>
          <t>991002468639702656</t>
        </is>
      </c>
      <c r="AX1479" t="inlineStr">
        <is>
          <t>991002468639702656</t>
        </is>
      </c>
      <c r="AY1479" t="inlineStr">
        <is>
          <t>2266173030002656</t>
        </is>
      </c>
      <c r="AZ1479" t="inlineStr">
        <is>
          <t>BOOK</t>
        </is>
      </c>
      <c r="BB1479" t="inlineStr">
        <is>
          <t>9780312130503</t>
        </is>
      </c>
      <c r="BC1479" t="inlineStr">
        <is>
          <t>32285002137296</t>
        </is>
      </c>
      <c r="BD1479" t="inlineStr">
        <is>
          <t>893892585</t>
        </is>
      </c>
    </row>
    <row r="1480">
      <c r="A1480" t="inlineStr">
        <is>
          <t>No</t>
        </is>
      </c>
      <c r="B1480" t="inlineStr">
        <is>
          <t>HV9644 .I36 1980</t>
        </is>
      </c>
      <c r="C1480" t="inlineStr">
        <is>
          <t>0                      HV 9644000I  36          1980</t>
        </is>
      </c>
      <c r="D1480" t="inlineStr">
        <is>
          <t>A just measure of pain : the penitentiary in the Industrial Revolution, 1750-1850 / Michael Ignatieff.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Yes</t>
        </is>
      </c>
      <c r="J1480" t="inlineStr">
        <is>
          <t>0</t>
        </is>
      </c>
      <c r="K1480" t="inlineStr">
        <is>
          <t>Ignatieff, Michael.</t>
        </is>
      </c>
      <c r="L1480" t="inlineStr">
        <is>
          <t>New York : Columbia University Press, 1980, c1978.</t>
        </is>
      </c>
      <c r="M1480" t="inlineStr">
        <is>
          <t>1980</t>
        </is>
      </c>
      <c r="N1480" t="inlineStr">
        <is>
          <t>Columbia University Press morningside ed.</t>
        </is>
      </c>
      <c r="O1480" t="inlineStr">
        <is>
          <t>eng</t>
        </is>
      </c>
      <c r="P1480" t="inlineStr">
        <is>
          <t>nyu</t>
        </is>
      </c>
      <c r="R1480" t="inlineStr">
        <is>
          <t xml:space="preserve">HV </t>
        </is>
      </c>
      <c r="S1480" t="n">
        <v>3</v>
      </c>
      <c r="T1480" t="n">
        <v>3</v>
      </c>
      <c r="U1480" t="inlineStr">
        <is>
          <t>2009-04-24</t>
        </is>
      </c>
      <c r="V1480" t="inlineStr">
        <is>
          <t>2009-04-24</t>
        </is>
      </c>
      <c r="W1480" t="inlineStr">
        <is>
          <t>1992-03-18</t>
        </is>
      </c>
      <c r="X1480" t="inlineStr">
        <is>
          <t>1992-03-18</t>
        </is>
      </c>
      <c r="Y1480" t="n">
        <v>129</v>
      </c>
      <c r="Z1480" t="n">
        <v>107</v>
      </c>
      <c r="AA1480" t="n">
        <v>857</v>
      </c>
      <c r="AB1480" t="n">
        <v>1</v>
      </c>
      <c r="AC1480" t="n">
        <v>7</v>
      </c>
      <c r="AD1480" t="n">
        <v>8</v>
      </c>
      <c r="AE1480" t="n">
        <v>42</v>
      </c>
      <c r="AF1480" t="n">
        <v>3</v>
      </c>
      <c r="AG1480" t="n">
        <v>14</v>
      </c>
      <c r="AH1480" t="n">
        <v>2</v>
      </c>
      <c r="AI1480" t="n">
        <v>7</v>
      </c>
      <c r="AJ1480" t="n">
        <v>4</v>
      </c>
      <c r="AK1480" t="n">
        <v>19</v>
      </c>
      <c r="AL1480" t="n">
        <v>0</v>
      </c>
      <c r="AM1480" t="n">
        <v>4</v>
      </c>
      <c r="AN1480" t="n">
        <v>0</v>
      </c>
      <c r="AO1480" t="n">
        <v>7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HYPERLINK("https://creighton-primo.hosted.exlibrisgroup.com/primo-explore/search?tab=default_tab&amp;search_scope=EVERYTHING&amp;vid=01CRU&amp;lang=en_US&amp;offset=0&amp;query=any,contains,991004927599702656","Catalog Record")</f>
        <v/>
      </c>
      <c r="AT1480">
        <f>HYPERLINK("http://www.worldcat.org/oclc/6087202","WorldCat Record")</f>
        <v/>
      </c>
      <c r="AU1480" t="inlineStr">
        <is>
          <t>836719412:eng</t>
        </is>
      </c>
      <c r="AV1480" t="inlineStr">
        <is>
          <t>6087202</t>
        </is>
      </c>
      <c r="AW1480" t="inlineStr">
        <is>
          <t>991004927599702656</t>
        </is>
      </c>
      <c r="AX1480" t="inlineStr">
        <is>
          <t>991004927599702656</t>
        </is>
      </c>
      <c r="AY1480" t="inlineStr">
        <is>
          <t>2259492830002656</t>
        </is>
      </c>
      <c r="AZ1480" t="inlineStr">
        <is>
          <t>BOOK</t>
        </is>
      </c>
      <c r="BB1480" t="inlineStr">
        <is>
          <t>9780231050579</t>
        </is>
      </c>
      <c r="BC1480" t="inlineStr">
        <is>
          <t>32285000529700</t>
        </is>
      </c>
      <c r="BD1480" t="inlineStr">
        <is>
          <t>893501099</t>
        </is>
      </c>
    </row>
    <row r="1481">
      <c r="A1481" t="inlineStr">
        <is>
          <t>No</t>
        </is>
      </c>
      <c r="B1481" t="inlineStr">
        <is>
          <t>HV97.A3 C484 1996</t>
        </is>
      </c>
      <c r="C1481" t="inlineStr">
        <is>
          <t>0                      HV 0097000A  3                  C  484         1996</t>
        </is>
      </c>
      <c r="D1481" t="inlineStr">
        <is>
          <t>Welfare in America : Christian perpectives on a policy in crisis / edited by Stanley W. Carlson-Thies and James W. Skillen.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L1481" t="inlineStr">
        <is>
          <t>Grand Rapids, Mich. : William B. Eerdmans Pub., c1996.</t>
        </is>
      </c>
      <c r="M1481" t="inlineStr">
        <is>
          <t>1996</t>
        </is>
      </c>
      <c r="O1481" t="inlineStr">
        <is>
          <t>eng</t>
        </is>
      </c>
      <c r="P1481" t="inlineStr">
        <is>
          <t>miu</t>
        </is>
      </c>
      <c r="R1481" t="inlineStr">
        <is>
          <t xml:space="preserve">HV </t>
        </is>
      </c>
      <c r="S1481" t="n">
        <v>12</v>
      </c>
      <c r="T1481" t="n">
        <v>12</v>
      </c>
      <c r="U1481" t="inlineStr">
        <is>
          <t>2007-03-19</t>
        </is>
      </c>
      <c r="V1481" t="inlineStr">
        <is>
          <t>2007-03-19</t>
        </is>
      </c>
      <c r="W1481" t="inlineStr">
        <is>
          <t>1996-03-19</t>
        </is>
      </c>
      <c r="X1481" t="inlineStr">
        <is>
          <t>1996-03-19</t>
        </is>
      </c>
      <c r="Y1481" t="n">
        <v>397</v>
      </c>
      <c r="Z1481" t="n">
        <v>372</v>
      </c>
      <c r="AA1481" t="n">
        <v>379</v>
      </c>
      <c r="AB1481" t="n">
        <v>2</v>
      </c>
      <c r="AC1481" t="n">
        <v>2</v>
      </c>
      <c r="AD1481" t="n">
        <v>17</v>
      </c>
      <c r="AE1481" t="n">
        <v>17</v>
      </c>
      <c r="AF1481" t="n">
        <v>6</v>
      </c>
      <c r="AG1481" t="n">
        <v>6</v>
      </c>
      <c r="AH1481" t="n">
        <v>4</v>
      </c>
      <c r="AI1481" t="n">
        <v>4</v>
      </c>
      <c r="AJ1481" t="n">
        <v>9</v>
      </c>
      <c r="AK1481" t="n">
        <v>9</v>
      </c>
      <c r="AL1481" t="n">
        <v>1</v>
      </c>
      <c r="AM1481" t="n">
        <v>1</v>
      </c>
      <c r="AN1481" t="n">
        <v>1</v>
      </c>
      <c r="AO1481" t="n">
        <v>1</v>
      </c>
      <c r="AP1481" t="inlineStr">
        <is>
          <t>No</t>
        </is>
      </c>
      <c r="AQ1481" t="inlineStr">
        <is>
          <t>Yes</t>
        </is>
      </c>
      <c r="AR1481">
        <f>HYPERLINK("http://catalog.hathitrust.org/Record/003062188","HathiTrust Record")</f>
        <v/>
      </c>
      <c r="AS1481">
        <f>HYPERLINK("https://creighton-primo.hosted.exlibrisgroup.com/primo-explore/search?tab=default_tab&amp;search_scope=EVERYTHING&amp;vid=01CRU&amp;lang=en_US&amp;offset=0&amp;query=any,contains,991005422419702656","Catalog Record")</f>
        <v/>
      </c>
      <c r="AT1481">
        <f>HYPERLINK("http://www.worldcat.org/oclc/33281644","WorldCat Record")</f>
        <v/>
      </c>
      <c r="AU1481" t="inlineStr">
        <is>
          <t>367473260:eng</t>
        </is>
      </c>
      <c r="AV1481" t="inlineStr">
        <is>
          <t>33281644</t>
        </is>
      </c>
      <c r="AW1481" t="inlineStr">
        <is>
          <t>991005422419702656</t>
        </is>
      </c>
      <c r="AX1481" t="inlineStr">
        <is>
          <t>991005422419702656</t>
        </is>
      </c>
      <c r="AY1481" t="inlineStr">
        <is>
          <t>2270566860002656</t>
        </is>
      </c>
      <c r="AZ1481" t="inlineStr">
        <is>
          <t>BOOK</t>
        </is>
      </c>
      <c r="BB1481" t="inlineStr">
        <is>
          <t>9780802841278</t>
        </is>
      </c>
      <c r="BC1481" t="inlineStr">
        <is>
          <t>32285002144458</t>
        </is>
      </c>
      <c r="BD1481" t="inlineStr">
        <is>
          <t>893444008</t>
        </is>
      </c>
    </row>
    <row r="1482">
      <c r="A1482" t="inlineStr">
        <is>
          <t>No</t>
        </is>
      </c>
      <c r="B1482" t="inlineStr">
        <is>
          <t>HV97.H32 F84 1980</t>
        </is>
      </c>
      <c r="C1482" t="inlineStr">
        <is>
          <t>0                      HV 0097000H  32                 F  84          1980</t>
        </is>
      </c>
      <c r="D1482" t="inlineStr">
        <is>
          <t>Love in the mortar joints : the story of Habitat for Humanity / by Millard Fuller and Diane Scott.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K1482" t="inlineStr">
        <is>
          <t>Fuller, Millard, 1935-2009.</t>
        </is>
      </c>
      <c r="L1482" t="inlineStr">
        <is>
          <t>Chicago : Association Press, c1980.</t>
        </is>
      </c>
      <c r="M1482" t="inlineStr">
        <is>
          <t>1980</t>
        </is>
      </c>
      <c r="O1482" t="inlineStr">
        <is>
          <t>eng</t>
        </is>
      </c>
      <c r="P1482" t="inlineStr">
        <is>
          <t>ilu</t>
        </is>
      </c>
      <c r="R1482" t="inlineStr">
        <is>
          <t xml:space="preserve">HV </t>
        </is>
      </c>
      <c r="S1482" t="n">
        <v>13</v>
      </c>
      <c r="T1482" t="n">
        <v>13</v>
      </c>
      <c r="U1482" t="inlineStr">
        <is>
          <t>2007-09-04</t>
        </is>
      </c>
      <c r="V1482" t="inlineStr">
        <is>
          <t>2007-09-04</t>
        </is>
      </c>
      <c r="W1482" t="inlineStr">
        <is>
          <t>1991-12-09</t>
        </is>
      </c>
      <c r="X1482" t="inlineStr">
        <is>
          <t>1991-12-09</t>
        </is>
      </c>
      <c r="Y1482" t="n">
        <v>180</v>
      </c>
      <c r="Z1482" t="n">
        <v>173</v>
      </c>
      <c r="AA1482" t="n">
        <v>316</v>
      </c>
      <c r="AB1482" t="n">
        <v>1</v>
      </c>
      <c r="AC1482" t="n">
        <v>5</v>
      </c>
      <c r="AD1482" t="n">
        <v>4</v>
      </c>
      <c r="AE1482" t="n">
        <v>12</v>
      </c>
      <c r="AF1482" t="n">
        <v>3</v>
      </c>
      <c r="AG1482" t="n">
        <v>6</v>
      </c>
      <c r="AH1482" t="n">
        <v>1</v>
      </c>
      <c r="AI1482" t="n">
        <v>2</v>
      </c>
      <c r="AJ1482" t="n">
        <v>3</v>
      </c>
      <c r="AK1482" t="n">
        <v>4</v>
      </c>
      <c r="AL1482" t="n">
        <v>0</v>
      </c>
      <c r="AM1482" t="n">
        <v>4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No</t>
        </is>
      </c>
      <c r="AS1482">
        <f>HYPERLINK("https://creighton-primo.hosted.exlibrisgroup.com/primo-explore/search?tab=default_tab&amp;search_scope=EVERYTHING&amp;vid=01CRU&amp;lang=en_US&amp;offset=0&amp;query=any,contains,991004943109702656","Catalog Record")</f>
        <v/>
      </c>
      <c r="AT1482">
        <f>HYPERLINK("http://www.worldcat.org/oclc/6195733","WorldCat Record")</f>
        <v/>
      </c>
      <c r="AU1482" t="inlineStr">
        <is>
          <t>290370319:eng</t>
        </is>
      </c>
      <c r="AV1482" t="inlineStr">
        <is>
          <t>6195733</t>
        </is>
      </c>
      <c r="AW1482" t="inlineStr">
        <is>
          <t>991004943109702656</t>
        </is>
      </c>
      <c r="AX1482" t="inlineStr">
        <is>
          <t>991004943109702656</t>
        </is>
      </c>
      <c r="AY1482" t="inlineStr">
        <is>
          <t>2265721180002656</t>
        </is>
      </c>
      <c r="AZ1482" t="inlineStr">
        <is>
          <t>BOOK</t>
        </is>
      </c>
      <c r="BB1482" t="inlineStr">
        <is>
          <t>9780695814441</t>
        </is>
      </c>
      <c r="BC1482" t="inlineStr">
        <is>
          <t>32285000872993</t>
        </is>
      </c>
      <c r="BD1482" t="inlineStr">
        <is>
          <t>893694536</t>
        </is>
      </c>
    </row>
    <row r="1483">
      <c r="A1483" t="inlineStr">
        <is>
          <t>No</t>
        </is>
      </c>
      <c r="B1483" t="inlineStr">
        <is>
          <t>HV9713 .S6415 1973</t>
        </is>
      </c>
      <c r="C1483" t="inlineStr">
        <is>
          <t>0                      HV 9713000S  6415        1973</t>
        </is>
      </c>
      <c r="D1483" t="inlineStr">
        <is>
          <t>Der Archipel Gulag / Alexander Solschenizyn.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K1483" t="inlineStr">
        <is>
          <t>Solzhenit︠s︡yn, Aleksandr Isaevich, 1918-2008.</t>
        </is>
      </c>
      <c r="L1483" t="inlineStr">
        <is>
          <t>Bern : Scherz, [c1973]</t>
        </is>
      </c>
      <c r="M1483" t="inlineStr">
        <is>
          <t>1973</t>
        </is>
      </c>
      <c r="O1483" t="inlineStr">
        <is>
          <t>ger</t>
        </is>
      </c>
      <c r="P1483" t="inlineStr">
        <is>
          <t xml:space="preserve">sz </t>
        </is>
      </c>
      <c r="R1483" t="inlineStr">
        <is>
          <t xml:space="preserve">HV </t>
        </is>
      </c>
      <c r="S1483" t="n">
        <v>0</v>
      </c>
      <c r="T1483" t="n">
        <v>0</v>
      </c>
      <c r="U1483" t="inlineStr">
        <is>
          <t>2009-04-24</t>
        </is>
      </c>
      <c r="V1483" t="inlineStr">
        <is>
          <t>2009-04-24</t>
        </is>
      </c>
      <c r="W1483" t="inlineStr">
        <is>
          <t>1993-11-22</t>
        </is>
      </c>
      <c r="X1483" t="inlineStr">
        <is>
          <t>1993-11-22</t>
        </is>
      </c>
      <c r="Y1483" t="n">
        <v>12</v>
      </c>
      <c r="Z1483" t="n">
        <v>6</v>
      </c>
      <c r="AA1483" t="n">
        <v>53</v>
      </c>
      <c r="AB1483" t="n">
        <v>1</v>
      </c>
      <c r="AC1483" t="n">
        <v>1</v>
      </c>
      <c r="AD1483" t="n">
        <v>1</v>
      </c>
      <c r="AE1483" t="n">
        <v>1</v>
      </c>
      <c r="AF1483" t="n">
        <v>0</v>
      </c>
      <c r="AG1483" t="n">
        <v>0</v>
      </c>
      <c r="AH1483" t="n">
        <v>0</v>
      </c>
      <c r="AI1483" t="n">
        <v>0</v>
      </c>
      <c r="AJ1483" t="n">
        <v>1</v>
      </c>
      <c r="AK1483" t="n">
        <v>1</v>
      </c>
      <c r="AL1483" t="n">
        <v>0</v>
      </c>
      <c r="AM1483" t="n">
        <v>0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No</t>
        </is>
      </c>
      <c r="AS1483">
        <f>HYPERLINK("https://creighton-primo.hosted.exlibrisgroup.com/primo-explore/search?tab=default_tab&amp;search_scope=EVERYTHING&amp;vid=01CRU&amp;lang=en_US&amp;offset=0&amp;query=any,contains,991000428309702656","Catalog Record")</f>
        <v/>
      </c>
      <c r="AT1483">
        <f>HYPERLINK("http://www.worldcat.org/oclc/10769145","WorldCat Record")</f>
        <v/>
      </c>
      <c r="AU1483" t="inlineStr">
        <is>
          <t>9323035624:ger</t>
        </is>
      </c>
      <c r="AV1483" t="inlineStr">
        <is>
          <t>10769145</t>
        </is>
      </c>
      <c r="AW1483" t="inlineStr">
        <is>
          <t>991000428309702656</t>
        </is>
      </c>
      <c r="AX1483" t="inlineStr">
        <is>
          <t>991000428309702656</t>
        </is>
      </c>
      <c r="AY1483" t="inlineStr">
        <is>
          <t>2266608170002656</t>
        </is>
      </c>
      <c r="AZ1483" t="inlineStr">
        <is>
          <t>BOOK</t>
        </is>
      </c>
      <c r="BC1483" t="inlineStr">
        <is>
          <t>32285001802379</t>
        </is>
      </c>
      <c r="BD1483" t="inlineStr">
        <is>
          <t>893508764</t>
        </is>
      </c>
    </row>
    <row r="1484">
      <c r="A1484" t="inlineStr">
        <is>
          <t>No</t>
        </is>
      </c>
      <c r="B1484" t="inlineStr">
        <is>
          <t>HV98.C3 A46 1988</t>
        </is>
      </c>
      <c r="C1484" t="inlineStr">
        <is>
          <t>0                      HV 0098000C  3                  A  46          1988</t>
        </is>
      </c>
      <c r="D1484" t="inlineStr">
        <is>
          <t>Welfare dependence and welfare policy : a statistical study / Vicky N. Albert ; foreword by Michael Wiseman.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K1484" t="inlineStr">
        <is>
          <t>Albert, Vicky N., 1954-</t>
        </is>
      </c>
      <c r="L1484" t="inlineStr">
        <is>
          <t>New York : Greenwood Press, 1988.</t>
        </is>
      </c>
      <c r="M1484" t="inlineStr">
        <is>
          <t>1988</t>
        </is>
      </c>
      <c r="O1484" t="inlineStr">
        <is>
          <t>eng</t>
        </is>
      </c>
      <c r="P1484" t="inlineStr">
        <is>
          <t>nyu</t>
        </is>
      </c>
      <c r="Q1484" t="inlineStr">
        <is>
          <t>Studies in social welfare policies and programs, 8755-5360 ; no. 8</t>
        </is>
      </c>
      <c r="R1484" t="inlineStr">
        <is>
          <t xml:space="preserve">HV </t>
        </is>
      </c>
      <c r="S1484" t="n">
        <v>9</v>
      </c>
      <c r="T1484" t="n">
        <v>9</v>
      </c>
      <c r="U1484" t="inlineStr">
        <is>
          <t>1997-11-09</t>
        </is>
      </c>
      <c r="V1484" t="inlineStr">
        <is>
          <t>1997-11-09</t>
        </is>
      </c>
      <c r="W1484" t="inlineStr">
        <is>
          <t>1990-06-29</t>
        </is>
      </c>
      <c r="X1484" t="inlineStr">
        <is>
          <t>1990-06-29</t>
        </is>
      </c>
      <c r="Y1484" t="n">
        <v>350</v>
      </c>
      <c r="Z1484" t="n">
        <v>302</v>
      </c>
      <c r="AA1484" t="n">
        <v>309</v>
      </c>
      <c r="AB1484" t="n">
        <v>4</v>
      </c>
      <c r="AC1484" t="n">
        <v>4</v>
      </c>
      <c r="AD1484" t="n">
        <v>20</v>
      </c>
      <c r="AE1484" t="n">
        <v>20</v>
      </c>
      <c r="AF1484" t="n">
        <v>5</v>
      </c>
      <c r="AG1484" t="n">
        <v>5</v>
      </c>
      <c r="AH1484" t="n">
        <v>5</v>
      </c>
      <c r="AI1484" t="n">
        <v>5</v>
      </c>
      <c r="AJ1484" t="n">
        <v>9</v>
      </c>
      <c r="AK1484" t="n">
        <v>9</v>
      </c>
      <c r="AL1484" t="n">
        <v>3</v>
      </c>
      <c r="AM1484" t="n">
        <v>3</v>
      </c>
      <c r="AN1484" t="n">
        <v>1</v>
      </c>
      <c r="AO1484" t="n">
        <v>1</v>
      </c>
      <c r="AP1484" t="inlineStr">
        <is>
          <t>No</t>
        </is>
      </c>
      <c r="AQ1484" t="inlineStr">
        <is>
          <t>Yes</t>
        </is>
      </c>
      <c r="AR1484">
        <f>HYPERLINK("http://catalog.hathitrust.org/Record/001097682","HathiTrust Record")</f>
        <v/>
      </c>
      <c r="AS1484">
        <f>HYPERLINK("https://creighton-primo.hosted.exlibrisgroup.com/primo-explore/search?tab=default_tab&amp;search_scope=EVERYTHING&amp;vid=01CRU&amp;lang=en_US&amp;offset=0&amp;query=any,contains,991001289649702656","Catalog Record")</f>
        <v/>
      </c>
      <c r="AT1484">
        <f>HYPERLINK("http://www.worldcat.org/oclc/17982692","WorldCat Record")</f>
        <v/>
      </c>
      <c r="AU1484" t="inlineStr">
        <is>
          <t>138630606:eng</t>
        </is>
      </c>
      <c r="AV1484" t="inlineStr">
        <is>
          <t>17982692</t>
        </is>
      </c>
      <c r="AW1484" t="inlineStr">
        <is>
          <t>991001289649702656</t>
        </is>
      </c>
      <c r="AX1484" t="inlineStr">
        <is>
          <t>991001289649702656</t>
        </is>
      </c>
      <c r="AY1484" t="inlineStr">
        <is>
          <t>2259404160002656</t>
        </is>
      </c>
      <c r="AZ1484" t="inlineStr">
        <is>
          <t>BOOK</t>
        </is>
      </c>
      <c r="BB1484" t="inlineStr">
        <is>
          <t>9780313261756</t>
        </is>
      </c>
      <c r="BC1484" t="inlineStr">
        <is>
          <t>32285000206283</t>
        </is>
      </c>
      <c r="BD1484" t="inlineStr">
        <is>
          <t>893346398</t>
        </is>
      </c>
    </row>
    <row r="1485">
      <c r="A1485" t="inlineStr">
        <is>
          <t>No</t>
        </is>
      </c>
      <c r="B1485" t="inlineStr">
        <is>
          <t>HV98.C6 K73 2005</t>
        </is>
      </c>
      <c r="C1485" t="inlineStr">
        <is>
          <t>0                      HV 0098000C  6                  K  73          2005</t>
        </is>
      </c>
      <c r="D1485" t="inlineStr">
        <is>
          <t>Delivering aid : implementing progressive era welfare in the American West / Thomas A. Krainz.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K1485" t="inlineStr">
        <is>
          <t>Krainz, Thomas A., 1965-</t>
        </is>
      </c>
      <c r="L1485" t="inlineStr">
        <is>
          <t>Albuquerque : University of New Mexico Press, 2005.</t>
        </is>
      </c>
      <c r="M1485" t="inlineStr">
        <is>
          <t>2005</t>
        </is>
      </c>
      <c r="O1485" t="inlineStr">
        <is>
          <t>eng</t>
        </is>
      </c>
      <c r="P1485" t="inlineStr">
        <is>
          <t>nmu</t>
        </is>
      </c>
      <c r="R1485" t="inlineStr">
        <is>
          <t xml:space="preserve">HV </t>
        </is>
      </c>
      <c r="S1485" t="n">
        <v>3</v>
      </c>
      <c r="T1485" t="n">
        <v>3</v>
      </c>
      <c r="U1485" t="inlineStr">
        <is>
          <t>2008-11-19</t>
        </is>
      </c>
      <c r="V1485" t="inlineStr">
        <is>
          <t>2008-11-19</t>
        </is>
      </c>
      <c r="W1485" t="inlineStr">
        <is>
          <t>2008-11-19</t>
        </is>
      </c>
      <c r="X1485" t="inlineStr">
        <is>
          <t>2008-11-19</t>
        </is>
      </c>
      <c r="Y1485" t="n">
        <v>237</v>
      </c>
      <c r="Z1485" t="n">
        <v>216</v>
      </c>
      <c r="AA1485" t="n">
        <v>221</v>
      </c>
      <c r="AB1485" t="n">
        <v>1</v>
      </c>
      <c r="AC1485" t="n">
        <v>1</v>
      </c>
      <c r="AD1485" t="n">
        <v>12</v>
      </c>
      <c r="AE1485" t="n">
        <v>12</v>
      </c>
      <c r="AF1485" t="n">
        <v>3</v>
      </c>
      <c r="AG1485" t="n">
        <v>3</v>
      </c>
      <c r="AH1485" t="n">
        <v>4</v>
      </c>
      <c r="AI1485" t="n">
        <v>4</v>
      </c>
      <c r="AJ1485" t="n">
        <v>10</v>
      </c>
      <c r="AK1485" t="n">
        <v>10</v>
      </c>
      <c r="AL1485" t="n">
        <v>0</v>
      </c>
      <c r="AM1485" t="n">
        <v>0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No</t>
        </is>
      </c>
      <c r="AS1485">
        <f>HYPERLINK("https://creighton-primo.hosted.exlibrisgroup.com/primo-explore/search?tab=default_tab&amp;search_scope=EVERYTHING&amp;vid=01CRU&amp;lang=en_US&amp;offset=0&amp;query=any,contains,991005275329702656","Catalog Record")</f>
        <v/>
      </c>
      <c r="AT1485">
        <f>HYPERLINK("http://www.worldcat.org/oclc/60705498","WorldCat Record")</f>
        <v/>
      </c>
      <c r="AU1485" t="inlineStr">
        <is>
          <t>943083580:eng</t>
        </is>
      </c>
      <c r="AV1485" t="inlineStr">
        <is>
          <t>60705498</t>
        </is>
      </c>
      <c r="AW1485" t="inlineStr">
        <is>
          <t>991005275329702656</t>
        </is>
      </c>
      <c r="AX1485" t="inlineStr">
        <is>
          <t>991005275329702656</t>
        </is>
      </c>
      <c r="AY1485" t="inlineStr">
        <is>
          <t>2265357560002656</t>
        </is>
      </c>
      <c r="AZ1485" t="inlineStr">
        <is>
          <t>BOOK</t>
        </is>
      </c>
      <c r="BB1485" t="inlineStr">
        <is>
          <t>9780826330253</t>
        </is>
      </c>
      <c r="BC1485" t="inlineStr">
        <is>
          <t>32285005467278</t>
        </is>
      </c>
      <c r="BD1485" t="inlineStr">
        <is>
          <t>893688875</t>
        </is>
      </c>
    </row>
    <row r="1486">
      <c r="A1486" t="inlineStr">
        <is>
          <t>No</t>
        </is>
      </c>
      <c r="B1486" t="inlineStr">
        <is>
          <t>HV98.S9 N48 2003</t>
        </is>
      </c>
      <c r="C1486" t="inlineStr">
        <is>
          <t>0                      HV 0098000S  9                  N  48          2003</t>
        </is>
      </c>
      <c r="D1486" t="inlineStr">
        <is>
          <t>The New Deal and beyond : social welfare in the South since 1930 / edited by Elna C. Green.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L1486" t="inlineStr">
        <is>
          <t>Athens : University of Georgia Press, c2003.</t>
        </is>
      </c>
      <c r="M1486" t="inlineStr">
        <is>
          <t>2003</t>
        </is>
      </c>
      <c r="O1486" t="inlineStr">
        <is>
          <t>eng</t>
        </is>
      </c>
      <c r="P1486" t="inlineStr">
        <is>
          <t>gau</t>
        </is>
      </c>
      <c r="R1486" t="inlineStr">
        <is>
          <t xml:space="preserve">HV </t>
        </is>
      </c>
      <c r="S1486" t="n">
        <v>1</v>
      </c>
      <c r="T1486" t="n">
        <v>1</v>
      </c>
      <c r="U1486" t="inlineStr">
        <is>
          <t>2004-09-27</t>
        </is>
      </c>
      <c r="V1486" t="inlineStr">
        <is>
          <t>2004-09-27</t>
        </is>
      </c>
      <c r="W1486" t="inlineStr">
        <is>
          <t>2004-09-27</t>
        </is>
      </c>
      <c r="X1486" t="inlineStr">
        <is>
          <t>2004-09-27</t>
        </is>
      </c>
      <c r="Y1486" t="n">
        <v>269</v>
      </c>
      <c r="Z1486" t="n">
        <v>248</v>
      </c>
      <c r="AA1486" t="n">
        <v>248</v>
      </c>
      <c r="AB1486" t="n">
        <v>1</v>
      </c>
      <c r="AC1486" t="n">
        <v>1</v>
      </c>
      <c r="AD1486" t="n">
        <v>12</v>
      </c>
      <c r="AE1486" t="n">
        <v>12</v>
      </c>
      <c r="AF1486" t="n">
        <v>4</v>
      </c>
      <c r="AG1486" t="n">
        <v>4</v>
      </c>
      <c r="AH1486" t="n">
        <v>2</v>
      </c>
      <c r="AI1486" t="n">
        <v>2</v>
      </c>
      <c r="AJ1486" t="n">
        <v>10</v>
      </c>
      <c r="AK1486" t="n">
        <v>10</v>
      </c>
      <c r="AL1486" t="n">
        <v>0</v>
      </c>
      <c r="AM1486" t="n">
        <v>0</v>
      </c>
      <c r="AN1486" t="n">
        <v>1</v>
      </c>
      <c r="AO1486" t="n">
        <v>1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HYPERLINK("https://creighton-primo.hosted.exlibrisgroup.com/primo-explore/search?tab=default_tab&amp;search_scope=EVERYTHING&amp;vid=01CRU&amp;lang=en_US&amp;offset=0&amp;query=any,contains,991004358539702656","Catalog Record")</f>
        <v/>
      </c>
      <c r="AT1486">
        <f>HYPERLINK("http://www.worldcat.org/oclc/50243267","WorldCat Record")</f>
        <v/>
      </c>
      <c r="AU1486" t="inlineStr">
        <is>
          <t>837335075:eng</t>
        </is>
      </c>
      <c r="AV1486" t="inlineStr">
        <is>
          <t>50243267</t>
        </is>
      </c>
      <c r="AW1486" t="inlineStr">
        <is>
          <t>991004358539702656</t>
        </is>
      </c>
      <c r="AX1486" t="inlineStr">
        <is>
          <t>991004358539702656</t>
        </is>
      </c>
      <c r="AY1486" t="inlineStr">
        <is>
          <t>2268138790002656</t>
        </is>
      </c>
      <c r="AZ1486" t="inlineStr">
        <is>
          <t>BOOK</t>
        </is>
      </c>
      <c r="BB1486" t="inlineStr">
        <is>
          <t>9780820324814</t>
        </is>
      </c>
      <c r="BC1486" t="inlineStr">
        <is>
          <t>32285004989173</t>
        </is>
      </c>
      <c r="BD1486" t="inlineStr">
        <is>
          <t>893593594</t>
        </is>
      </c>
    </row>
    <row r="1487">
      <c r="A1487" t="inlineStr">
        <is>
          <t>No</t>
        </is>
      </c>
      <c r="B1487" t="inlineStr">
        <is>
          <t>HV985 .C64 2010</t>
        </is>
      </c>
      <c r="C1487" t="inlineStr">
        <is>
          <t>0                      HV 0985000C  64          2010</t>
        </is>
      </c>
      <c r="D1487" t="inlineStr">
        <is>
          <t>Mail-order kid : an Orphan Train rider's story / Marilyn June Coffey.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K1487" t="inlineStr">
        <is>
          <t>Coffey, Marilyn June.</t>
        </is>
      </c>
      <c r="L1487" t="inlineStr">
        <is>
          <t>Omaha, Neb. : "Out West" Press, c2010.</t>
        </is>
      </c>
      <c r="M1487" t="inlineStr">
        <is>
          <t>2010</t>
        </is>
      </c>
      <c r="O1487" t="inlineStr">
        <is>
          <t>eng</t>
        </is>
      </c>
      <c r="P1487" t="inlineStr">
        <is>
          <t>nbu</t>
        </is>
      </c>
      <c r="R1487" t="inlineStr">
        <is>
          <t xml:space="preserve">HV </t>
        </is>
      </c>
      <c r="S1487" t="n">
        <v>2</v>
      </c>
      <c r="T1487" t="n">
        <v>2</v>
      </c>
      <c r="U1487" t="inlineStr">
        <is>
          <t>2010-12-09</t>
        </is>
      </c>
      <c r="V1487" t="inlineStr">
        <is>
          <t>2010-12-09</t>
        </is>
      </c>
      <c r="W1487" t="inlineStr">
        <is>
          <t>2010-11-02</t>
        </is>
      </c>
      <c r="X1487" t="inlineStr">
        <is>
          <t>2010-11-02</t>
        </is>
      </c>
      <c r="Y1487" t="n">
        <v>61</v>
      </c>
      <c r="Z1487" t="n">
        <v>61</v>
      </c>
      <c r="AA1487" t="n">
        <v>64</v>
      </c>
      <c r="AB1487" t="n">
        <v>10</v>
      </c>
      <c r="AC1487" t="n">
        <v>10</v>
      </c>
      <c r="AD1487" t="n">
        <v>1</v>
      </c>
      <c r="AE1487" t="n">
        <v>1</v>
      </c>
      <c r="AF1487" t="n">
        <v>0</v>
      </c>
      <c r="AG1487" t="n">
        <v>0</v>
      </c>
      <c r="AH1487" t="n">
        <v>0</v>
      </c>
      <c r="AI1487" t="n">
        <v>0</v>
      </c>
      <c r="AJ1487" t="n">
        <v>0</v>
      </c>
      <c r="AK1487" t="n">
        <v>0</v>
      </c>
      <c r="AL1487" t="n">
        <v>1</v>
      </c>
      <c r="AM1487" t="n">
        <v>1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HYPERLINK("https://creighton-primo.hosted.exlibrisgroup.com/primo-explore/search?tab=default_tab&amp;search_scope=EVERYTHING&amp;vid=01CRU&amp;lang=en_US&amp;offset=0&amp;query=any,contains,991000191299702656","Catalog Record")</f>
        <v/>
      </c>
      <c r="AT1487">
        <f>HYPERLINK("http://www.worldcat.org/oclc/697319807","WorldCat Record")</f>
        <v/>
      </c>
      <c r="AU1487" t="inlineStr">
        <is>
          <t>3770994965:eng</t>
        </is>
      </c>
      <c r="AV1487" t="inlineStr">
        <is>
          <t>697319807</t>
        </is>
      </c>
      <c r="AW1487" t="inlineStr">
        <is>
          <t>991000191299702656</t>
        </is>
      </c>
      <c r="AX1487" t="inlineStr">
        <is>
          <t>991000191299702656</t>
        </is>
      </c>
      <c r="AY1487" t="inlineStr">
        <is>
          <t>2262556100002656</t>
        </is>
      </c>
      <c r="AZ1487" t="inlineStr">
        <is>
          <t>BOOK</t>
        </is>
      </c>
      <c r="BB1487" t="inlineStr">
        <is>
          <t>9780962631726</t>
        </is>
      </c>
      <c r="BC1487" t="inlineStr">
        <is>
          <t>32285005603591</t>
        </is>
      </c>
      <c r="BD1487" t="inlineStr">
        <is>
          <t>893237148</t>
        </is>
      </c>
    </row>
    <row r="1488">
      <c r="A1488" t="inlineStr">
        <is>
          <t>No</t>
        </is>
      </c>
      <c r="B1488" t="inlineStr">
        <is>
          <t>HV99.B6 T48 1997</t>
        </is>
      </c>
      <c r="C1488" t="inlineStr">
        <is>
          <t>0                      HV 0099000B  6                  T  48          1997</t>
        </is>
      </c>
      <c r="D1488" t="inlineStr">
        <is>
          <t>Through my own eyes : single mothers and the cultures of poverty / Susan D. Holloway ... [et al.].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L1488" t="inlineStr">
        <is>
          <t>Cambridge, Mass. : Harvard University Press, 1997.</t>
        </is>
      </c>
      <c r="M1488" t="inlineStr">
        <is>
          <t>1997</t>
        </is>
      </c>
      <c r="O1488" t="inlineStr">
        <is>
          <t>eng</t>
        </is>
      </c>
      <c r="P1488" t="inlineStr">
        <is>
          <t>mau</t>
        </is>
      </c>
      <c r="R1488" t="inlineStr">
        <is>
          <t xml:space="preserve">HV </t>
        </is>
      </c>
      <c r="S1488" t="n">
        <v>2</v>
      </c>
      <c r="T1488" t="n">
        <v>2</v>
      </c>
      <c r="U1488" t="inlineStr">
        <is>
          <t>2003-04-25</t>
        </is>
      </c>
      <c r="V1488" t="inlineStr">
        <is>
          <t>2003-04-25</t>
        </is>
      </c>
      <c r="W1488" t="inlineStr">
        <is>
          <t>1998-04-13</t>
        </is>
      </c>
      <c r="X1488" t="inlineStr">
        <is>
          <t>1998-04-13</t>
        </is>
      </c>
      <c r="Y1488" t="n">
        <v>611</v>
      </c>
      <c r="Z1488" t="n">
        <v>553</v>
      </c>
      <c r="AA1488" t="n">
        <v>584</v>
      </c>
      <c r="AB1488" t="n">
        <v>5</v>
      </c>
      <c r="AC1488" t="n">
        <v>5</v>
      </c>
      <c r="AD1488" t="n">
        <v>22</v>
      </c>
      <c r="AE1488" t="n">
        <v>24</v>
      </c>
      <c r="AF1488" t="n">
        <v>5</v>
      </c>
      <c r="AG1488" t="n">
        <v>7</v>
      </c>
      <c r="AH1488" t="n">
        <v>8</v>
      </c>
      <c r="AI1488" t="n">
        <v>8</v>
      </c>
      <c r="AJ1488" t="n">
        <v>11</v>
      </c>
      <c r="AK1488" t="n">
        <v>12</v>
      </c>
      <c r="AL1488" t="n">
        <v>4</v>
      </c>
      <c r="AM1488" t="n">
        <v>4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HYPERLINK("http://catalog.hathitrust.org/Record/003962710","HathiTrust Record")</f>
        <v/>
      </c>
      <c r="AS1488">
        <f>HYPERLINK("https://creighton-primo.hosted.exlibrisgroup.com/primo-explore/search?tab=default_tab&amp;search_scope=EVERYTHING&amp;vid=01CRU&amp;lang=en_US&amp;offset=0&amp;query=any,contains,991002819359702656","Catalog Record")</f>
        <v/>
      </c>
      <c r="AT1488">
        <f>HYPERLINK("http://www.worldcat.org/oclc/37037431","WorldCat Record")</f>
        <v/>
      </c>
      <c r="AU1488" t="inlineStr">
        <is>
          <t>837143921:eng</t>
        </is>
      </c>
      <c r="AV1488" t="inlineStr">
        <is>
          <t>37037431</t>
        </is>
      </c>
      <c r="AW1488" t="inlineStr">
        <is>
          <t>991002819359702656</t>
        </is>
      </c>
      <c r="AX1488" t="inlineStr">
        <is>
          <t>991002819359702656</t>
        </is>
      </c>
      <c r="AY1488" t="inlineStr">
        <is>
          <t>2259324310002656</t>
        </is>
      </c>
      <c r="AZ1488" t="inlineStr">
        <is>
          <t>BOOK</t>
        </is>
      </c>
      <c r="BB1488" t="inlineStr">
        <is>
          <t>9780674891227</t>
        </is>
      </c>
      <c r="BC1488" t="inlineStr">
        <is>
          <t>32285003384426</t>
        </is>
      </c>
      <c r="BD1488" t="inlineStr">
        <is>
          <t>893886770</t>
        </is>
      </c>
    </row>
    <row r="1489">
      <c r="A1489" t="inlineStr">
        <is>
          <t>No</t>
        </is>
      </c>
      <c r="B1489" t="inlineStr">
        <is>
          <t>HV99.N59 D8</t>
        </is>
      </c>
      <c r="C1489" t="inlineStr">
        <is>
          <t>0                      HV 0099000N  59                 D  8</t>
        </is>
      </c>
      <c r="D1489" t="inlineStr">
        <is>
          <t>Welfare income and employment; an economic analysis of family choice [by] Elizabeth F. Durbin. Pref. by Oscar A. Ornati.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K1489" t="inlineStr">
        <is>
          <t>Durbin, Elizabeth F.</t>
        </is>
      </c>
      <c r="L1489" t="inlineStr">
        <is>
          <t>New York, Praeger [1969]</t>
        </is>
      </c>
      <c r="M1489" t="inlineStr">
        <is>
          <t>1969</t>
        </is>
      </c>
      <c r="O1489" t="inlineStr">
        <is>
          <t>eng</t>
        </is>
      </c>
      <c r="P1489" t="inlineStr">
        <is>
          <t>nyu</t>
        </is>
      </c>
      <c r="Q1489" t="inlineStr">
        <is>
          <t>Labor economics and urban studies ; v. 1</t>
        </is>
      </c>
      <c r="R1489" t="inlineStr">
        <is>
          <t xml:space="preserve">HV </t>
        </is>
      </c>
      <c r="S1489" t="n">
        <v>4</v>
      </c>
      <c r="T1489" t="n">
        <v>4</v>
      </c>
      <c r="U1489" t="inlineStr">
        <is>
          <t>1994-10-26</t>
        </is>
      </c>
      <c r="V1489" t="inlineStr">
        <is>
          <t>1994-10-26</t>
        </is>
      </c>
      <c r="W1489" t="inlineStr">
        <is>
          <t>1993-05-17</t>
        </is>
      </c>
      <c r="X1489" t="inlineStr">
        <is>
          <t>1993-05-17</t>
        </is>
      </c>
      <c r="Y1489" t="n">
        <v>434</v>
      </c>
      <c r="Z1489" t="n">
        <v>378</v>
      </c>
      <c r="AA1489" t="n">
        <v>379</v>
      </c>
      <c r="AB1489" t="n">
        <v>2</v>
      </c>
      <c r="AC1489" t="n">
        <v>2</v>
      </c>
      <c r="AD1489" t="n">
        <v>18</v>
      </c>
      <c r="AE1489" t="n">
        <v>18</v>
      </c>
      <c r="AF1489" t="n">
        <v>6</v>
      </c>
      <c r="AG1489" t="n">
        <v>6</v>
      </c>
      <c r="AH1489" t="n">
        <v>3</v>
      </c>
      <c r="AI1489" t="n">
        <v>3</v>
      </c>
      <c r="AJ1489" t="n">
        <v>9</v>
      </c>
      <c r="AK1489" t="n">
        <v>9</v>
      </c>
      <c r="AL1489" t="n">
        <v>1</v>
      </c>
      <c r="AM1489" t="n">
        <v>1</v>
      </c>
      <c r="AN1489" t="n">
        <v>1</v>
      </c>
      <c r="AO1489" t="n">
        <v>1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HYPERLINK("http://catalog.hathitrust.org/Record/001131967","HathiTrust Record")</f>
        <v/>
      </c>
      <c r="AS1489">
        <f>HYPERLINK("https://creighton-primo.hosted.exlibrisgroup.com/primo-explore/search?tab=default_tab&amp;search_scope=EVERYTHING&amp;vid=01CRU&amp;lang=en_US&amp;offset=0&amp;query=any,contains,991000131449702656","Catalog Record")</f>
        <v/>
      </c>
      <c r="AT1489">
        <f>HYPERLINK("http://www.worldcat.org/oclc/54316","WorldCat Record")</f>
        <v/>
      </c>
      <c r="AU1489" t="inlineStr">
        <is>
          <t>1181427:eng</t>
        </is>
      </c>
      <c r="AV1489" t="inlineStr">
        <is>
          <t>54316</t>
        </is>
      </c>
      <c r="AW1489" t="inlineStr">
        <is>
          <t>991000131449702656</t>
        </is>
      </c>
      <c r="AX1489" t="inlineStr">
        <is>
          <t>991000131449702656</t>
        </is>
      </c>
      <c r="AY1489" t="inlineStr">
        <is>
          <t>2258196980002656</t>
        </is>
      </c>
      <c r="AZ1489" t="inlineStr">
        <is>
          <t>BOOK</t>
        </is>
      </c>
      <c r="BC1489" t="inlineStr">
        <is>
          <t>32285001681021</t>
        </is>
      </c>
      <c r="BD1489" t="inlineStr">
        <is>
          <t>893714340</t>
        </is>
      </c>
    </row>
    <row r="1490">
      <c r="A1490" t="inlineStr">
        <is>
          <t>No</t>
        </is>
      </c>
      <c r="B1490" t="inlineStr">
        <is>
          <t>HV99.N59 P66 1989</t>
        </is>
      </c>
      <c r="C1490" t="inlineStr">
        <is>
          <t>0                      HV 0099000N  59                 P  66          1989</t>
        </is>
      </c>
      <c r="D1490" t="inlineStr">
        <is>
          <t>Biting the hand that feeds them : organizing women on welfare at the grass roots level / Jacqueline Pope.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K1490" t="inlineStr">
        <is>
          <t>Pope, Jacqueline.</t>
        </is>
      </c>
      <c r="L1490" t="inlineStr">
        <is>
          <t>New York : Praeger, 1989.</t>
        </is>
      </c>
      <c r="M1490" t="inlineStr">
        <is>
          <t>1989</t>
        </is>
      </c>
      <c r="O1490" t="inlineStr">
        <is>
          <t>eng</t>
        </is>
      </c>
      <c r="P1490" t="inlineStr">
        <is>
          <t>nyu</t>
        </is>
      </c>
      <c r="R1490" t="inlineStr">
        <is>
          <t xml:space="preserve">HV </t>
        </is>
      </c>
      <c r="S1490" t="n">
        <v>8</v>
      </c>
      <c r="T1490" t="n">
        <v>8</v>
      </c>
      <c r="U1490" t="inlineStr">
        <is>
          <t>2000-04-19</t>
        </is>
      </c>
      <c r="V1490" t="inlineStr">
        <is>
          <t>2000-04-19</t>
        </is>
      </c>
      <c r="W1490" t="inlineStr">
        <is>
          <t>1996-06-06</t>
        </is>
      </c>
      <c r="X1490" t="inlineStr">
        <is>
          <t>1996-06-06</t>
        </is>
      </c>
      <c r="Y1490" t="n">
        <v>467</v>
      </c>
      <c r="Z1490" t="n">
        <v>416</v>
      </c>
      <c r="AA1490" t="n">
        <v>421</v>
      </c>
      <c r="AB1490" t="n">
        <v>5</v>
      </c>
      <c r="AC1490" t="n">
        <v>5</v>
      </c>
      <c r="AD1490" t="n">
        <v>25</v>
      </c>
      <c r="AE1490" t="n">
        <v>25</v>
      </c>
      <c r="AF1490" t="n">
        <v>6</v>
      </c>
      <c r="AG1490" t="n">
        <v>6</v>
      </c>
      <c r="AH1490" t="n">
        <v>7</v>
      </c>
      <c r="AI1490" t="n">
        <v>7</v>
      </c>
      <c r="AJ1490" t="n">
        <v>16</v>
      </c>
      <c r="AK1490" t="n">
        <v>16</v>
      </c>
      <c r="AL1490" t="n">
        <v>4</v>
      </c>
      <c r="AM1490" t="n">
        <v>4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No</t>
        </is>
      </c>
      <c r="AS1490">
        <f>HYPERLINK("https://creighton-primo.hosted.exlibrisgroup.com/primo-explore/search?tab=default_tab&amp;search_scope=EVERYTHING&amp;vid=01CRU&amp;lang=en_US&amp;offset=0&amp;query=any,contains,991001351889702656","Catalog Record")</f>
        <v/>
      </c>
      <c r="AT1490">
        <f>HYPERLINK("http://www.worldcat.org/oclc/18442462","WorldCat Record")</f>
        <v/>
      </c>
      <c r="AU1490" t="inlineStr">
        <is>
          <t>367777388:eng</t>
        </is>
      </c>
      <c r="AV1490" t="inlineStr">
        <is>
          <t>18442462</t>
        </is>
      </c>
      <c r="AW1490" t="inlineStr">
        <is>
          <t>991001351889702656</t>
        </is>
      </c>
      <c r="AX1490" t="inlineStr">
        <is>
          <t>991001351889702656</t>
        </is>
      </c>
      <c r="AY1490" t="inlineStr">
        <is>
          <t>2269537550002656</t>
        </is>
      </c>
      <c r="AZ1490" t="inlineStr">
        <is>
          <t>BOOK</t>
        </is>
      </c>
      <c r="BB1490" t="inlineStr">
        <is>
          <t>9780275929220</t>
        </is>
      </c>
      <c r="BC1490" t="inlineStr">
        <is>
          <t>32285002188562</t>
        </is>
      </c>
      <c r="BD1490" t="inlineStr">
        <is>
          <t>893414180</t>
        </is>
      </c>
    </row>
    <row r="1491">
      <c r="A1491" t="inlineStr">
        <is>
          <t>No</t>
        </is>
      </c>
      <c r="B1491" t="inlineStr">
        <is>
          <t>HV9950 .A334 2007</t>
        </is>
      </c>
      <c r="C1491" t="inlineStr">
        <is>
          <t>0                      HV 9950000A  334         2007</t>
        </is>
      </c>
      <c r="D1491" t="inlineStr">
        <is>
          <t>American furies : crime, punishment, and vengeance in the age of mass imprisonment / Sasha Abramsky.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Abramsky, Sasha.</t>
        </is>
      </c>
      <c r="L1491" t="inlineStr">
        <is>
          <t>Boston : Beacon Press, c2007.</t>
        </is>
      </c>
      <c r="M1491" t="inlineStr">
        <is>
          <t>2007</t>
        </is>
      </c>
      <c r="O1491" t="inlineStr">
        <is>
          <t>eng</t>
        </is>
      </c>
      <c r="P1491" t="inlineStr">
        <is>
          <t>mau</t>
        </is>
      </c>
      <c r="R1491" t="inlineStr">
        <is>
          <t xml:space="preserve">HV </t>
        </is>
      </c>
      <c r="S1491" t="n">
        <v>2</v>
      </c>
      <c r="T1491" t="n">
        <v>2</v>
      </c>
      <c r="U1491" t="inlineStr">
        <is>
          <t>2009-11-01</t>
        </is>
      </c>
      <c r="V1491" t="inlineStr">
        <is>
          <t>2009-11-01</t>
        </is>
      </c>
      <c r="W1491" t="inlineStr">
        <is>
          <t>2008-10-09</t>
        </is>
      </c>
      <c r="X1491" t="inlineStr">
        <is>
          <t>2008-10-09</t>
        </is>
      </c>
      <c r="Y1491" t="n">
        <v>921</v>
      </c>
      <c r="Z1491" t="n">
        <v>872</v>
      </c>
      <c r="AA1491" t="n">
        <v>1166</v>
      </c>
      <c r="AB1491" t="n">
        <v>5</v>
      </c>
      <c r="AC1491" t="n">
        <v>7</v>
      </c>
      <c r="AD1491" t="n">
        <v>33</v>
      </c>
      <c r="AE1491" t="n">
        <v>46</v>
      </c>
      <c r="AF1491" t="n">
        <v>13</v>
      </c>
      <c r="AG1491" t="n">
        <v>18</v>
      </c>
      <c r="AH1491" t="n">
        <v>6</v>
      </c>
      <c r="AI1491" t="n">
        <v>10</v>
      </c>
      <c r="AJ1491" t="n">
        <v>14</v>
      </c>
      <c r="AK1491" t="n">
        <v>17</v>
      </c>
      <c r="AL1491" t="n">
        <v>4</v>
      </c>
      <c r="AM1491" t="n">
        <v>6</v>
      </c>
      <c r="AN1491" t="n">
        <v>3</v>
      </c>
      <c r="AO1491" t="n">
        <v>4</v>
      </c>
      <c r="AP1491" t="inlineStr">
        <is>
          <t>No</t>
        </is>
      </c>
      <c r="AQ1491" t="inlineStr">
        <is>
          <t>No</t>
        </is>
      </c>
      <c r="AS1491">
        <f>HYPERLINK("https://creighton-primo.hosted.exlibrisgroup.com/primo-explore/search?tab=default_tab&amp;search_scope=EVERYTHING&amp;vid=01CRU&amp;lang=en_US&amp;offset=0&amp;query=any,contains,991005269419702656","Catalog Record")</f>
        <v/>
      </c>
      <c r="AT1491">
        <f>HYPERLINK("http://www.worldcat.org/oclc/71507740","WorldCat Record")</f>
        <v/>
      </c>
      <c r="AU1491" t="inlineStr">
        <is>
          <t>796458875:eng</t>
        </is>
      </c>
      <c r="AV1491" t="inlineStr">
        <is>
          <t>71507740</t>
        </is>
      </c>
      <c r="AW1491" t="inlineStr">
        <is>
          <t>991005269419702656</t>
        </is>
      </c>
      <c r="AX1491" t="inlineStr">
        <is>
          <t>991005269419702656</t>
        </is>
      </c>
      <c r="AY1491" t="inlineStr">
        <is>
          <t>2266020270002656</t>
        </is>
      </c>
      <c r="AZ1491" t="inlineStr">
        <is>
          <t>BOOK</t>
        </is>
      </c>
      <c r="BB1491" t="inlineStr">
        <is>
          <t>9780807042229</t>
        </is>
      </c>
      <c r="BC1491" t="inlineStr">
        <is>
          <t>32285005462774</t>
        </is>
      </c>
      <c r="BD1491" t="inlineStr">
        <is>
          <t>893236567</t>
        </is>
      </c>
    </row>
    <row r="1492">
      <c r="A1492" t="inlineStr">
        <is>
          <t>No</t>
        </is>
      </c>
      <c r="B1492" t="inlineStr">
        <is>
          <t>HV9950 .B86 2004</t>
        </is>
      </c>
      <c r="C1492" t="inlineStr">
        <is>
          <t>0                      HV 9950000B  86          2004</t>
        </is>
      </c>
      <c r="D1492" t="inlineStr">
        <is>
          <t>Profiling and criminal justice in America : a reference handbook / Jeffrey B. Bumgarner.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K1492" t="inlineStr">
        <is>
          <t>Bumgarner, Jeffrey B.</t>
        </is>
      </c>
      <c r="L1492" t="inlineStr">
        <is>
          <t>Santa Barbara, Calif. : ABC-CLIO, [2004]</t>
        </is>
      </c>
      <c r="M1492" t="inlineStr">
        <is>
          <t>2004</t>
        </is>
      </c>
      <c r="O1492" t="inlineStr">
        <is>
          <t>eng</t>
        </is>
      </c>
      <c r="P1492" t="inlineStr">
        <is>
          <t>cau</t>
        </is>
      </c>
      <c r="Q1492" t="inlineStr">
        <is>
          <t>Contemporary world issues</t>
        </is>
      </c>
      <c r="R1492" t="inlineStr">
        <is>
          <t xml:space="preserve">HV </t>
        </is>
      </c>
      <c r="S1492" t="n">
        <v>7</v>
      </c>
      <c r="T1492" t="n">
        <v>7</v>
      </c>
      <c r="U1492" t="inlineStr">
        <is>
          <t>2008-03-30</t>
        </is>
      </c>
      <c r="V1492" t="inlineStr">
        <is>
          <t>2008-03-30</t>
        </is>
      </c>
      <c r="W1492" t="inlineStr">
        <is>
          <t>2004-10-05</t>
        </is>
      </c>
      <c r="X1492" t="inlineStr">
        <is>
          <t>2004-10-05</t>
        </is>
      </c>
      <c r="Y1492" t="n">
        <v>901</v>
      </c>
      <c r="Z1492" t="n">
        <v>861</v>
      </c>
      <c r="AA1492" t="n">
        <v>1537</v>
      </c>
      <c r="AB1492" t="n">
        <v>6</v>
      </c>
      <c r="AC1492" t="n">
        <v>11</v>
      </c>
      <c r="AD1492" t="n">
        <v>29</v>
      </c>
      <c r="AE1492" t="n">
        <v>43</v>
      </c>
      <c r="AF1492" t="n">
        <v>9</v>
      </c>
      <c r="AG1492" t="n">
        <v>15</v>
      </c>
      <c r="AH1492" t="n">
        <v>5</v>
      </c>
      <c r="AI1492" t="n">
        <v>8</v>
      </c>
      <c r="AJ1492" t="n">
        <v>9</v>
      </c>
      <c r="AK1492" t="n">
        <v>14</v>
      </c>
      <c r="AL1492" t="n">
        <v>3</v>
      </c>
      <c r="AM1492" t="n">
        <v>7</v>
      </c>
      <c r="AN1492" t="n">
        <v>6</v>
      </c>
      <c r="AO1492" t="n">
        <v>6</v>
      </c>
      <c r="AP1492" t="inlineStr">
        <is>
          <t>No</t>
        </is>
      </c>
      <c r="AQ1492" t="inlineStr">
        <is>
          <t>No</t>
        </is>
      </c>
      <c r="AS1492">
        <f>HYPERLINK("https://creighton-primo.hosted.exlibrisgroup.com/primo-explore/search?tab=default_tab&amp;search_scope=EVERYTHING&amp;vid=01CRU&amp;lang=en_US&amp;offset=0&amp;query=any,contains,991004382659702656","Catalog Record")</f>
        <v/>
      </c>
      <c r="AT1492">
        <f>HYPERLINK("http://www.worldcat.org/oclc/55679301","WorldCat Record")</f>
        <v/>
      </c>
      <c r="AU1492" t="inlineStr">
        <is>
          <t>815430:eng</t>
        </is>
      </c>
      <c r="AV1492" t="inlineStr">
        <is>
          <t>55679301</t>
        </is>
      </c>
      <c r="AW1492" t="inlineStr">
        <is>
          <t>991004382659702656</t>
        </is>
      </c>
      <c r="AX1492" t="inlineStr">
        <is>
          <t>991004382659702656</t>
        </is>
      </c>
      <c r="AY1492" t="inlineStr">
        <is>
          <t>2258699460002656</t>
        </is>
      </c>
      <c r="AZ1492" t="inlineStr">
        <is>
          <t>BOOK</t>
        </is>
      </c>
      <c r="BB1492" t="inlineStr">
        <is>
          <t>9781851094691</t>
        </is>
      </c>
      <c r="BC1492" t="inlineStr">
        <is>
          <t>32285005001150</t>
        </is>
      </c>
      <c r="BD1492" t="inlineStr">
        <is>
          <t>893423723</t>
        </is>
      </c>
    </row>
    <row r="1493">
      <c r="A1493" t="inlineStr">
        <is>
          <t>No</t>
        </is>
      </c>
      <c r="B1493" t="inlineStr">
        <is>
          <t>HV9950 .C66 1988</t>
        </is>
      </c>
      <c r="C1493" t="inlineStr">
        <is>
          <t>0                      HV 9950000C  66          1988</t>
        </is>
      </c>
      <c r="D1493" t="inlineStr">
        <is>
          <t>Controversial issues in crime and justice / edited by Joseph E. Scott [and] Travis Hirschi.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L1493" t="inlineStr">
        <is>
          <t>Newbury Park, Calif. : Sage Publications, c1988.</t>
        </is>
      </c>
      <c r="M1493" t="inlineStr">
        <is>
          <t>1987</t>
        </is>
      </c>
      <c r="O1493" t="inlineStr">
        <is>
          <t>eng</t>
        </is>
      </c>
      <c r="P1493" t="inlineStr">
        <is>
          <t>cau</t>
        </is>
      </c>
      <c r="Q1493" t="inlineStr">
        <is>
          <t>Studies in crime, law, and justice ; v. 1</t>
        </is>
      </c>
      <c r="R1493" t="inlineStr">
        <is>
          <t xml:space="preserve">HV </t>
        </is>
      </c>
      <c r="S1493" t="n">
        <v>9</v>
      </c>
      <c r="T1493" t="n">
        <v>9</v>
      </c>
      <c r="U1493" t="inlineStr">
        <is>
          <t>1997-01-14</t>
        </is>
      </c>
      <c r="V1493" t="inlineStr">
        <is>
          <t>1997-01-14</t>
        </is>
      </c>
      <c r="W1493" t="inlineStr">
        <is>
          <t>1990-03-27</t>
        </is>
      </c>
      <c r="X1493" t="inlineStr">
        <is>
          <t>1990-03-27</t>
        </is>
      </c>
      <c r="Y1493" t="n">
        <v>447</v>
      </c>
      <c r="Z1493" t="n">
        <v>356</v>
      </c>
      <c r="AA1493" t="n">
        <v>362</v>
      </c>
      <c r="AB1493" t="n">
        <v>3</v>
      </c>
      <c r="AC1493" t="n">
        <v>3</v>
      </c>
      <c r="AD1493" t="n">
        <v>19</v>
      </c>
      <c r="AE1493" t="n">
        <v>19</v>
      </c>
      <c r="AF1493" t="n">
        <v>5</v>
      </c>
      <c r="AG1493" t="n">
        <v>5</v>
      </c>
      <c r="AH1493" t="n">
        <v>4</v>
      </c>
      <c r="AI1493" t="n">
        <v>4</v>
      </c>
      <c r="AJ1493" t="n">
        <v>8</v>
      </c>
      <c r="AK1493" t="n">
        <v>8</v>
      </c>
      <c r="AL1493" t="n">
        <v>2</v>
      </c>
      <c r="AM1493" t="n">
        <v>2</v>
      </c>
      <c r="AN1493" t="n">
        <v>5</v>
      </c>
      <c r="AO1493" t="n">
        <v>5</v>
      </c>
      <c r="AP1493" t="inlineStr">
        <is>
          <t>No</t>
        </is>
      </c>
      <c r="AQ1493" t="inlineStr">
        <is>
          <t>No</t>
        </is>
      </c>
      <c r="AS1493">
        <f>HYPERLINK("https://creighton-primo.hosted.exlibrisgroup.com/primo-explore/search?tab=default_tab&amp;search_scope=EVERYTHING&amp;vid=01CRU&amp;lang=en_US&amp;offset=0&amp;query=any,contains,991001161699702656","Catalog Record")</f>
        <v/>
      </c>
      <c r="AT1493">
        <f>HYPERLINK("http://www.worldcat.org/oclc/16900836","WorldCat Record")</f>
        <v/>
      </c>
      <c r="AU1493" t="inlineStr">
        <is>
          <t>349916282:eng</t>
        </is>
      </c>
      <c r="AV1493" t="inlineStr">
        <is>
          <t>16900836</t>
        </is>
      </c>
      <c r="AW1493" t="inlineStr">
        <is>
          <t>991001161699702656</t>
        </is>
      </c>
      <c r="AX1493" t="inlineStr">
        <is>
          <t>991001161699702656</t>
        </is>
      </c>
      <c r="AY1493" t="inlineStr">
        <is>
          <t>2268669870002656</t>
        </is>
      </c>
      <c r="AZ1493" t="inlineStr">
        <is>
          <t>BOOK</t>
        </is>
      </c>
      <c r="BB1493" t="inlineStr">
        <is>
          <t>9780803929135</t>
        </is>
      </c>
      <c r="BC1493" t="inlineStr">
        <is>
          <t>32285000097633</t>
        </is>
      </c>
      <c r="BD1493" t="inlineStr">
        <is>
          <t>893797349</t>
        </is>
      </c>
    </row>
    <row r="1494">
      <c r="A1494" t="inlineStr">
        <is>
          <t>No</t>
        </is>
      </c>
      <c r="B1494" t="inlineStr">
        <is>
          <t>HV9950 .D94 2000</t>
        </is>
      </c>
      <c r="C1494" t="inlineStr">
        <is>
          <t>0                      HV 9950000D  94          2000</t>
        </is>
      </c>
      <c r="D1494" t="inlineStr">
        <is>
          <t>The perpetual prisoner machine : how America profits from crime / by Joel Dyer.</t>
        </is>
      </c>
      <c r="F1494" t="inlineStr">
        <is>
          <t>No</t>
        </is>
      </c>
      <c r="G1494" t="inlineStr">
        <is>
          <t>1</t>
        </is>
      </c>
      <c r="H1494" t="inlineStr">
        <is>
          <t>No</t>
        </is>
      </c>
      <c r="I1494" t="inlineStr">
        <is>
          <t>No</t>
        </is>
      </c>
      <c r="J1494" t="inlineStr">
        <is>
          <t>0</t>
        </is>
      </c>
      <c r="K1494" t="inlineStr">
        <is>
          <t>Dyer, Joel.</t>
        </is>
      </c>
      <c r="L1494" t="inlineStr">
        <is>
          <t>Boulder, Colo : Westview Press, 2000.</t>
        </is>
      </c>
      <c r="M1494" t="inlineStr">
        <is>
          <t>2000</t>
        </is>
      </c>
      <c r="O1494" t="inlineStr">
        <is>
          <t>eng</t>
        </is>
      </c>
      <c r="P1494" t="inlineStr">
        <is>
          <t>cou</t>
        </is>
      </c>
      <c r="R1494" t="inlineStr">
        <is>
          <t xml:space="preserve">HV </t>
        </is>
      </c>
      <c r="S1494" t="n">
        <v>1</v>
      </c>
      <c r="T1494" t="n">
        <v>1</v>
      </c>
      <c r="U1494" t="inlineStr">
        <is>
          <t>2000-10-18</t>
        </is>
      </c>
      <c r="V1494" t="inlineStr">
        <is>
          <t>2000-10-18</t>
        </is>
      </c>
      <c r="W1494" t="inlineStr">
        <is>
          <t>2000-10-18</t>
        </is>
      </c>
      <c r="X1494" t="inlineStr">
        <is>
          <t>2000-10-18</t>
        </is>
      </c>
      <c r="Y1494" t="n">
        <v>1111</v>
      </c>
      <c r="Z1494" t="n">
        <v>1039</v>
      </c>
      <c r="AA1494" t="n">
        <v>1046</v>
      </c>
      <c r="AB1494" t="n">
        <v>10</v>
      </c>
      <c r="AC1494" t="n">
        <v>10</v>
      </c>
      <c r="AD1494" t="n">
        <v>51</v>
      </c>
      <c r="AE1494" t="n">
        <v>51</v>
      </c>
      <c r="AF1494" t="n">
        <v>18</v>
      </c>
      <c r="AG1494" t="n">
        <v>18</v>
      </c>
      <c r="AH1494" t="n">
        <v>10</v>
      </c>
      <c r="AI1494" t="n">
        <v>10</v>
      </c>
      <c r="AJ1494" t="n">
        <v>21</v>
      </c>
      <c r="AK1494" t="n">
        <v>21</v>
      </c>
      <c r="AL1494" t="n">
        <v>9</v>
      </c>
      <c r="AM1494" t="n">
        <v>9</v>
      </c>
      <c r="AN1494" t="n">
        <v>4</v>
      </c>
      <c r="AO1494" t="n">
        <v>4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HYPERLINK("http://catalog.hathitrust.org/Record/004064917","HathiTrust Record")</f>
        <v/>
      </c>
      <c r="AS1494">
        <f>HYPERLINK("https://creighton-primo.hosted.exlibrisgroup.com/primo-explore/search?tab=default_tab&amp;search_scope=EVERYTHING&amp;vid=01CRU&amp;lang=en_US&amp;offset=0&amp;query=any,contains,991003283499702656","Catalog Record")</f>
        <v/>
      </c>
      <c r="AT1494">
        <f>HYPERLINK("http://www.worldcat.org/oclc/42393517","WorldCat Record")</f>
        <v/>
      </c>
      <c r="AU1494" t="inlineStr">
        <is>
          <t>2020782:eng</t>
        </is>
      </c>
      <c r="AV1494" t="inlineStr">
        <is>
          <t>42393517</t>
        </is>
      </c>
      <c r="AW1494" t="inlineStr">
        <is>
          <t>991003283499702656</t>
        </is>
      </c>
      <c r="AX1494" t="inlineStr">
        <is>
          <t>991003283499702656</t>
        </is>
      </c>
      <c r="AY1494" t="inlineStr">
        <is>
          <t>2269156080002656</t>
        </is>
      </c>
      <c r="AZ1494" t="inlineStr">
        <is>
          <t>BOOK</t>
        </is>
      </c>
      <c r="BB1494" t="inlineStr">
        <is>
          <t>9780813335070</t>
        </is>
      </c>
      <c r="BC1494" t="inlineStr">
        <is>
          <t>32285003768487</t>
        </is>
      </c>
      <c r="BD1494" t="inlineStr">
        <is>
          <t>893717496</t>
        </is>
      </c>
    </row>
    <row r="1495">
      <c r="A1495" t="inlineStr">
        <is>
          <t>No</t>
        </is>
      </c>
      <c r="B1495" t="inlineStr">
        <is>
          <t>HV9950 .G58 1997</t>
        </is>
      </c>
      <c r="C1495" t="inlineStr">
        <is>
          <t>0                      HV 9950000G  58          1997</t>
        </is>
      </c>
      <c r="D1495" t="inlineStr">
        <is>
          <t>Profitable penalties : how to cut both crime rates and costs / Daniel Glaser.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K1495" t="inlineStr">
        <is>
          <t>Glaser, Daniel.</t>
        </is>
      </c>
      <c r="L1495" t="inlineStr">
        <is>
          <t>Thousand Oaks, Calif. : Pine Forge Press, c1997.</t>
        </is>
      </c>
      <c r="M1495" t="inlineStr">
        <is>
          <t>1997</t>
        </is>
      </c>
      <c r="O1495" t="inlineStr">
        <is>
          <t>eng</t>
        </is>
      </c>
      <c r="P1495" t="inlineStr">
        <is>
          <t>cau</t>
        </is>
      </c>
      <c r="R1495" t="inlineStr">
        <is>
          <t xml:space="preserve">HV </t>
        </is>
      </c>
      <c r="S1495" t="n">
        <v>4</v>
      </c>
      <c r="T1495" t="n">
        <v>4</v>
      </c>
      <c r="U1495" t="inlineStr">
        <is>
          <t>2006-04-21</t>
        </is>
      </c>
      <c r="V1495" t="inlineStr">
        <is>
          <t>2006-04-21</t>
        </is>
      </c>
      <c r="W1495" t="inlineStr">
        <is>
          <t>2000-03-09</t>
        </is>
      </c>
      <c r="X1495" t="inlineStr">
        <is>
          <t>2000-03-09</t>
        </is>
      </c>
      <c r="Y1495" t="n">
        <v>232</v>
      </c>
      <c r="Z1495" t="n">
        <v>200</v>
      </c>
      <c r="AA1495" t="n">
        <v>205</v>
      </c>
      <c r="AB1495" t="n">
        <v>3</v>
      </c>
      <c r="AC1495" t="n">
        <v>3</v>
      </c>
      <c r="AD1495" t="n">
        <v>10</v>
      </c>
      <c r="AE1495" t="n">
        <v>10</v>
      </c>
      <c r="AF1495" t="n">
        <v>5</v>
      </c>
      <c r="AG1495" t="n">
        <v>5</v>
      </c>
      <c r="AH1495" t="n">
        <v>1</v>
      </c>
      <c r="AI1495" t="n">
        <v>1</v>
      </c>
      <c r="AJ1495" t="n">
        <v>5</v>
      </c>
      <c r="AK1495" t="n">
        <v>5</v>
      </c>
      <c r="AL1495" t="n">
        <v>2</v>
      </c>
      <c r="AM1495" t="n">
        <v>2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No</t>
        </is>
      </c>
      <c r="AS1495">
        <f>HYPERLINK("https://creighton-primo.hosted.exlibrisgroup.com/primo-explore/search?tab=default_tab&amp;search_scope=EVERYTHING&amp;vid=01CRU&amp;lang=en_US&amp;offset=0&amp;query=any,contains,991002765439702656","Catalog Record")</f>
        <v/>
      </c>
      <c r="AT1495">
        <f>HYPERLINK("http://www.worldcat.org/oclc/36284506","WorldCat Record")</f>
        <v/>
      </c>
      <c r="AU1495" t="inlineStr">
        <is>
          <t>591306:eng</t>
        </is>
      </c>
      <c r="AV1495" t="inlineStr">
        <is>
          <t>36284506</t>
        </is>
      </c>
      <c r="AW1495" t="inlineStr">
        <is>
          <t>991002765439702656</t>
        </is>
      </c>
      <c r="AX1495" t="inlineStr">
        <is>
          <t>991002765439702656</t>
        </is>
      </c>
      <c r="AY1495" t="inlineStr">
        <is>
          <t>2271031900002656</t>
        </is>
      </c>
      <c r="AZ1495" t="inlineStr">
        <is>
          <t>BOOK</t>
        </is>
      </c>
      <c r="BB1495" t="inlineStr">
        <is>
          <t>9780761985341</t>
        </is>
      </c>
      <c r="BC1495" t="inlineStr">
        <is>
          <t>32285003668265</t>
        </is>
      </c>
      <c r="BD1495" t="inlineStr">
        <is>
          <t>893233386</t>
        </is>
      </c>
    </row>
    <row r="1496">
      <c r="A1496" t="inlineStr">
        <is>
          <t>No</t>
        </is>
      </c>
      <c r="B1496" t="inlineStr">
        <is>
          <t>HV9950 .H46 1994</t>
        </is>
      </c>
      <c r="C1496" t="inlineStr">
        <is>
          <t>0                      HV 9950000H  46          1994</t>
        </is>
      </c>
      <c r="D1496" t="inlineStr">
        <is>
          <t>Crimes of the criminal justice system / Joel H. Henderson, David R. Simon.</t>
        </is>
      </c>
      <c r="F1496" t="inlineStr">
        <is>
          <t>No</t>
        </is>
      </c>
      <c r="G1496" t="inlineStr">
        <is>
          <t>1</t>
        </is>
      </c>
      <c r="H1496" t="inlineStr">
        <is>
          <t>No</t>
        </is>
      </c>
      <c r="I1496" t="inlineStr">
        <is>
          <t>No</t>
        </is>
      </c>
      <c r="J1496" t="inlineStr">
        <is>
          <t>0</t>
        </is>
      </c>
      <c r="K1496" t="inlineStr">
        <is>
          <t>Henderson, Joel H.</t>
        </is>
      </c>
      <c r="L1496" t="inlineStr">
        <is>
          <t>Cincinnati, Ohio : Anderson Pub. Co., c1994.</t>
        </is>
      </c>
      <c r="M1496" t="inlineStr">
        <is>
          <t>1994</t>
        </is>
      </c>
      <c r="O1496" t="inlineStr">
        <is>
          <t>eng</t>
        </is>
      </c>
      <c r="P1496" t="inlineStr">
        <is>
          <t>ohu</t>
        </is>
      </c>
      <c r="R1496" t="inlineStr">
        <is>
          <t xml:space="preserve">HV </t>
        </is>
      </c>
      <c r="S1496" t="n">
        <v>3</v>
      </c>
      <c r="T1496" t="n">
        <v>3</v>
      </c>
      <c r="U1496" t="inlineStr">
        <is>
          <t>2004-04-02</t>
        </is>
      </c>
      <c r="V1496" t="inlineStr">
        <is>
          <t>2004-04-02</t>
        </is>
      </c>
      <c r="W1496" t="inlineStr">
        <is>
          <t>1999-01-21</t>
        </is>
      </c>
      <c r="X1496" t="inlineStr">
        <is>
          <t>1999-01-21</t>
        </is>
      </c>
      <c r="Y1496" t="n">
        <v>192</v>
      </c>
      <c r="Z1496" t="n">
        <v>177</v>
      </c>
      <c r="AA1496" t="n">
        <v>177</v>
      </c>
      <c r="AB1496" t="n">
        <v>1</v>
      </c>
      <c r="AC1496" t="n">
        <v>1</v>
      </c>
      <c r="AD1496" t="n">
        <v>9</v>
      </c>
      <c r="AE1496" t="n">
        <v>9</v>
      </c>
      <c r="AF1496" t="n">
        <v>2</v>
      </c>
      <c r="AG1496" t="n">
        <v>2</v>
      </c>
      <c r="AH1496" t="n">
        <v>0</v>
      </c>
      <c r="AI1496" t="n">
        <v>0</v>
      </c>
      <c r="AJ1496" t="n">
        <v>2</v>
      </c>
      <c r="AK1496" t="n">
        <v>2</v>
      </c>
      <c r="AL1496" t="n">
        <v>0</v>
      </c>
      <c r="AM1496" t="n">
        <v>0</v>
      </c>
      <c r="AN1496" t="n">
        <v>6</v>
      </c>
      <c r="AO1496" t="n">
        <v>6</v>
      </c>
      <c r="AP1496" t="inlineStr">
        <is>
          <t>No</t>
        </is>
      </c>
      <c r="AQ1496" t="inlineStr">
        <is>
          <t>No</t>
        </is>
      </c>
      <c r="AS1496">
        <f>HYPERLINK("https://creighton-primo.hosted.exlibrisgroup.com/primo-explore/search?tab=default_tab&amp;search_scope=EVERYTHING&amp;vid=01CRU&amp;lang=en_US&amp;offset=0&amp;query=any,contains,991002281699702656","Catalog Record")</f>
        <v/>
      </c>
      <c r="AT1496">
        <f>HYPERLINK("http://www.worldcat.org/oclc/29590698","WorldCat Record")</f>
        <v/>
      </c>
      <c r="AU1496" t="inlineStr">
        <is>
          <t>31826057:eng</t>
        </is>
      </c>
      <c r="AV1496" t="inlineStr">
        <is>
          <t>29590698</t>
        </is>
      </c>
      <c r="AW1496" t="inlineStr">
        <is>
          <t>991002281699702656</t>
        </is>
      </c>
      <c r="AX1496" t="inlineStr">
        <is>
          <t>991002281699702656</t>
        </is>
      </c>
      <c r="AY1496" t="inlineStr">
        <is>
          <t>2262015610002656</t>
        </is>
      </c>
      <c r="AZ1496" t="inlineStr">
        <is>
          <t>BOOK</t>
        </is>
      </c>
      <c r="BB1496" t="inlineStr">
        <is>
          <t>9780870841637</t>
        </is>
      </c>
      <c r="BC1496" t="inlineStr">
        <is>
          <t>32285003514691</t>
        </is>
      </c>
      <c r="BD1496" t="inlineStr">
        <is>
          <t>893798397</t>
        </is>
      </c>
    </row>
    <row r="1497">
      <c r="A1497" t="inlineStr">
        <is>
          <t>No</t>
        </is>
      </c>
      <c r="B1497" t="inlineStr">
        <is>
          <t>HV9950 .M3 1996</t>
        </is>
      </c>
      <c r="C1497" t="inlineStr">
        <is>
          <t>0                      HV 9950000M  3           1996</t>
        </is>
      </c>
      <c r="D1497" t="inlineStr">
        <is>
          <t>Doing justice, doing gender / Susan Ehrlich Martin, Nancy C. Jurik.</t>
        </is>
      </c>
      <c r="F1497" t="inlineStr">
        <is>
          <t>No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K1497" t="inlineStr">
        <is>
          <t>Martin, Susan Ehrlich.</t>
        </is>
      </c>
      <c r="L1497" t="inlineStr">
        <is>
          <t>Thousand Oaks, Calif. : Sage Publications, c1996.</t>
        </is>
      </c>
      <c r="M1497" t="inlineStr">
        <is>
          <t>1996</t>
        </is>
      </c>
      <c r="O1497" t="inlineStr">
        <is>
          <t>eng</t>
        </is>
      </c>
      <c r="P1497" t="inlineStr">
        <is>
          <t>cau</t>
        </is>
      </c>
      <c r="Q1497" t="inlineStr">
        <is>
          <t>Women and the criminal justice system</t>
        </is>
      </c>
      <c r="R1497" t="inlineStr">
        <is>
          <t xml:space="preserve">HV </t>
        </is>
      </c>
      <c r="S1497" t="n">
        <v>3</v>
      </c>
      <c r="T1497" t="n">
        <v>3</v>
      </c>
      <c r="U1497" t="inlineStr">
        <is>
          <t>2002-06-21</t>
        </is>
      </c>
      <c r="V1497" t="inlineStr">
        <is>
          <t>2002-06-21</t>
        </is>
      </c>
      <c r="W1497" t="inlineStr">
        <is>
          <t>1996-12-10</t>
        </is>
      </c>
      <c r="X1497" t="inlineStr">
        <is>
          <t>1996-12-10</t>
        </is>
      </c>
      <c r="Y1497" t="n">
        <v>693</v>
      </c>
      <c r="Z1497" t="n">
        <v>588</v>
      </c>
      <c r="AA1497" t="n">
        <v>590</v>
      </c>
      <c r="AB1497" t="n">
        <v>5</v>
      </c>
      <c r="AC1497" t="n">
        <v>5</v>
      </c>
      <c r="AD1497" t="n">
        <v>42</v>
      </c>
      <c r="AE1497" t="n">
        <v>42</v>
      </c>
      <c r="AF1497" t="n">
        <v>14</v>
      </c>
      <c r="AG1497" t="n">
        <v>14</v>
      </c>
      <c r="AH1497" t="n">
        <v>6</v>
      </c>
      <c r="AI1497" t="n">
        <v>6</v>
      </c>
      <c r="AJ1497" t="n">
        <v>19</v>
      </c>
      <c r="AK1497" t="n">
        <v>19</v>
      </c>
      <c r="AL1497" t="n">
        <v>4</v>
      </c>
      <c r="AM1497" t="n">
        <v>4</v>
      </c>
      <c r="AN1497" t="n">
        <v>8</v>
      </c>
      <c r="AO1497" t="n">
        <v>8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HYPERLINK("http://catalog.hathitrust.org/Record/003055232","HathiTrust Record")</f>
        <v/>
      </c>
      <c r="AS1497">
        <f>HYPERLINK("https://creighton-primo.hosted.exlibrisgroup.com/primo-explore/search?tab=default_tab&amp;search_scope=EVERYTHING&amp;vid=01CRU&amp;lang=en_US&amp;offset=0&amp;query=any,contains,991002573339702656","Catalog Record")</f>
        <v/>
      </c>
      <c r="AT1497">
        <f>HYPERLINK("http://www.worldcat.org/oclc/33440775","WorldCat Record")</f>
        <v/>
      </c>
      <c r="AU1497" t="inlineStr">
        <is>
          <t>10678276226:eng</t>
        </is>
      </c>
      <c r="AV1497" t="inlineStr">
        <is>
          <t>33440775</t>
        </is>
      </c>
      <c r="AW1497" t="inlineStr">
        <is>
          <t>991002573339702656</t>
        </is>
      </c>
      <c r="AX1497" t="inlineStr">
        <is>
          <t>991002573339702656</t>
        </is>
      </c>
      <c r="AY1497" t="inlineStr">
        <is>
          <t>2265892090002656</t>
        </is>
      </c>
      <c r="AZ1497" t="inlineStr">
        <is>
          <t>BOOK</t>
        </is>
      </c>
      <c r="BB1497" t="inlineStr">
        <is>
          <t>9780803951976</t>
        </is>
      </c>
      <c r="BC1497" t="inlineStr">
        <is>
          <t>32285002389517</t>
        </is>
      </c>
      <c r="BD1497" t="inlineStr">
        <is>
          <t>893704232</t>
        </is>
      </c>
    </row>
    <row r="1498">
      <c r="A1498" t="inlineStr">
        <is>
          <t>No</t>
        </is>
      </c>
      <c r="B1498" t="inlineStr">
        <is>
          <t>HV9950 .W56 1998</t>
        </is>
      </c>
      <c r="C1498" t="inlineStr">
        <is>
          <t>0                      HV 9950000W  56          1998</t>
        </is>
      </c>
      <c r="D1498" t="inlineStr">
        <is>
          <t>Politics, punishment, and populism / Lord Windlesham.</t>
        </is>
      </c>
      <c r="F1498" t="inlineStr">
        <is>
          <t>No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Windlesham, David James George Hennessy, Baron, 1932-2010.</t>
        </is>
      </c>
      <c r="L1498" t="inlineStr">
        <is>
          <t>New York : Oxford University Press, 1998.</t>
        </is>
      </c>
      <c r="M1498" t="inlineStr">
        <is>
          <t>1998</t>
        </is>
      </c>
      <c r="O1498" t="inlineStr">
        <is>
          <t>eng</t>
        </is>
      </c>
      <c r="P1498" t="inlineStr">
        <is>
          <t>nyu</t>
        </is>
      </c>
      <c r="Q1498" t="inlineStr">
        <is>
          <t>Studies in crime and public policy</t>
        </is>
      </c>
      <c r="R1498" t="inlineStr">
        <is>
          <t xml:space="preserve">HV </t>
        </is>
      </c>
      <c r="S1498" t="n">
        <v>3</v>
      </c>
      <c r="T1498" t="n">
        <v>3</v>
      </c>
      <c r="U1498" t="inlineStr">
        <is>
          <t>2006-03-24</t>
        </is>
      </c>
      <c r="V1498" t="inlineStr">
        <is>
          <t>2006-03-24</t>
        </is>
      </c>
      <c r="W1498" t="inlineStr">
        <is>
          <t>2000-07-31</t>
        </is>
      </c>
      <c r="X1498" t="inlineStr">
        <is>
          <t>2000-07-31</t>
        </is>
      </c>
      <c r="Y1498" t="n">
        <v>652</v>
      </c>
      <c r="Z1498" t="n">
        <v>569</v>
      </c>
      <c r="AA1498" t="n">
        <v>1261</v>
      </c>
      <c r="AB1498" t="n">
        <v>4</v>
      </c>
      <c r="AC1498" t="n">
        <v>15</v>
      </c>
      <c r="AD1498" t="n">
        <v>42</v>
      </c>
      <c r="AE1498" t="n">
        <v>61</v>
      </c>
      <c r="AF1498" t="n">
        <v>12</v>
      </c>
      <c r="AG1498" t="n">
        <v>17</v>
      </c>
      <c r="AH1498" t="n">
        <v>7</v>
      </c>
      <c r="AI1498" t="n">
        <v>10</v>
      </c>
      <c r="AJ1498" t="n">
        <v>13</v>
      </c>
      <c r="AK1498" t="n">
        <v>17</v>
      </c>
      <c r="AL1498" t="n">
        <v>3</v>
      </c>
      <c r="AM1498" t="n">
        <v>13</v>
      </c>
      <c r="AN1498" t="n">
        <v>14</v>
      </c>
      <c r="AO1498" t="n">
        <v>14</v>
      </c>
      <c r="AP1498" t="inlineStr">
        <is>
          <t>No</t>
        </is>
      </c>
      <c r="AQ1498" t="inlineStr">
        <is>
          <t>No</t>
        </is>
      </c>
      <c r="AS1498">
        <f>HYPERLINK("https://creighton-primo.hosted.exlibrisgroup.com/primo-explore/search?tab=default_tab&amp;search_scope=EVERYTHING&amp;vid=01CRU&amp;lang=en_US&amp;offset=0&amp;query=any,contains,991003225309702656","Catalog Record")</f>
        <v/>
      </c>
      <c r="AT1498">
        <f>HYPERLINK("http://www.worldcat.org/oclc/38120616","WorldCat Record")</f>
        <v/>
      </c>
      <c r="AU1498" t="inlineStr">
        <is>
          <t>767081580:eng</t>
        </is>
      </c>
      <c r="AV1498" t="inlineStr">
        <is>
          <t>38120616</t>
        </is>
      </c>
      <c r="AW1498" t="inlineStr">
        <is>
          <t>991003225309702656</t>
        </is>
      </c>
      <c r="AX1498" t="inlineStr">
        <is>
          <t>991003225309702656</t>
        </is>
      </c>
      <c r="AY1498" t="inlineStr">
        <is>
          <t>2265333380002656</t>
        </is>
      </c>
      <c r="AZ1498" t="inlineStr">
        <is>
          <t>BOOK</t>
        </is>
      </c>
      <c r="BB1498" t="inlineStr">
        <is>
          <t>9780195115307</t>
        </is>
      </c>
      <c r="BC1498" t="inlineStr">
        <is>
          <t>32285003743910</t>
        </is>
      </c>
      <c r="BD1498" t="inlineStr">
        <is>
          <t>893511708</t>
        </is>
      </c>
    </row>
    <row r="1499">
      <c r="A1499" t="inlineStr">
        <is>
          <t>No</t>
        </is>
      </c>
      <c r="B1499" t="inlineStr">
        <is>
          <t>HV9955.O5 F85 2003</t>
        </is>
      </c>
      <c r="C1499" t="inlineStr">
        <is>
          <t>0                      HV 9955000O  5                  F  85          2003</t>
        </is>
      </c>
      <c r="D1499" t="inlineStr">
        <is>
          <t>Death and justice : an exposé of Oklahoma's death row machine / Mark Fuhrman.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Fuhrman, Mark.</t>
        </is>
      </c>
      <c r="L1499" t="inlineStr">
        <is>
          <t>New York : Morrow, c2003.</t>
        </is>
      </c>
      <c r="M1499" t="inlineStr">
        <is>
          <t>2003</t>
        </is>
      </c>
      <c r="N1499" t="inlineStr">
        <is>
          <t>1st ed.</t>
        </is>
      </c>
      <c r="O1499" t="inlineStr">
        <is>
          <t>eng</t>
        </is>
      </c>
      <c r="P1499" t="inlineStr">
        <is>
          <t>nyu</t>
        </is>
      </c>
      <c r="R1499" t="inlineStr">
        <is>
          <t xml:space="preserve">HV </t>
        </is>
      </c>
      <c r="S1499" t="n">
        <v>2</v>
      </c>
      <c r="T1499" t="n">
        <v>2</v>
      </c>
      <c r="U1499" t="inlineStr">
        <is>
          <t>2003-10-29</t>
        </is>
      </c>
      <c r="V1499" t="inlineStr">
        <is>
          <t>2003-10-29</t>
        </is>
      </c>
      <c r="W1499" t="inlineStr">
        <is>
          <t>2003-09-30</t>
        </is>
      </c>
      <c r="X1499" t="inlineStr">
        <is>
          <t>2003-09-30</t>
        </is>
      </c>
      <c r="Y1499" t="n">
        <v>877</v>
      </c>
      <c r="Z1499" t="n">
        <v>840</v>
      </c>
      <c r="AA1499" t="n">
        <v>852</v>
      </c>
      <c r="AB1499" t="n">
        <v>7</v>
      </c>
      <c r="AC1499" t="n">
        <v>7</v>
      </c>
      <c r="AD1499" t="n">
        <v>18</v>
      </c>
      <c r="AE1499" t="n">
        <v>18</v>
      </c>
      <c r="AF1499" t="n">
        <v>4</v>
      </c>
      <c r="AG1499" t="n">
        <v>4</v>
      </c>
      <c r="AH1499" t="n">
        <v>2</v>
      </c>
      <c r="AI1499" t="n">
        <v>2</v>
      </c>
      <c r="AJ1499" t="n">
        <v>7</v>
      </c>
      <c r="AK1499" t="n">
        <v>7</v>
      </c>
      <c r="AL1499" t="n">
        <v>2</v>
      </c>
      <c r="AM1499" t="n">
        <v>2</v>
      </c>
      <c r="AN1499" t="n">
        <v>8</v>
      </c>
      <c r="AO1499" t="n">
        <v>8</v>
      </c>
      <c r="AP1499" t="inlineStr">
        <is>
          <t>No</t>
        </is>
      </c>
      <c r="AQ1499" t="inlineStr">
        <is>
          <t>No</t>
        </is>
      </c>
      <c r="AS1499">
        <f>HYPERLINK("https://creighton-primo.hosted.exlibrisgroup.com/primo-explore/search?tab=default_tab&amp;search_scope=EVERYTHING&amp;vid=01CRU&amp;lang=en_US&amp;offset=0&amp;query=any,contains,991004112199702656","Catalog Record")</f>
        <v/>
      </c>
      <c r="AT1499">
        <f>HYPERLINK("http://www.worldcat.org/oclc/50958896","WorldCat Record")</f>
        <v/>
      </c>
      <c r="AU1499" t="inlineStr">
        <is>
          <t>647604:eng</t>
        </is>
      </c>
      <c r="AV1499" t="inlineStr">
        <is>
          <t>50958896</t>
        </is>
      </c>
      <c r="AW1499" t="inlineStr">
        <is>
          <t>991004112199702656</t>
        </is>
      </c>
      <c r="AX1499" t="inlineStr">
        <is>
          <t>991004112199702656</t>
        </is>
      </c>
      <c r="AY1499" t="inlineStr">
        <is>
          <t>2255978420002656</t>
        </is>
      </c>
      <c r="AZ1499" t="inlineStr">
        <is>
          <t>BOOK</t>
        </is>
      </c>
      <c r="BB1499" t="inlineStr">
        <is>
          <t>9780060009175</t>
        </is>
      </c>
      <c r="BC1499" t="inlineStr">
        <is>
          <t>32285004786371</t>
        </is>
      </c>
      <c r="BD1499" t="inlineStr">
        <is>
          <t>893500127</t>
        </is>
      </c>
    </row>
    <row r="1500">
      <c r="A1500" t="inlineStr">
        <is>
          <t>No</t>
        </is>
      </c>
      <c r="B1500" t="inlineStr">
        <is>
          <t>HV9955.W4 R45 1997</t>
        </is>
      </c>
      <c r="C1500" t="inlineStr">
        <is>
          <t>0                      HV 9955000W  4                  R  45          1997</t>
        </is>
      </c>
      <c r="D1500" t="inlineStr">
        <is>
          <t>Policing the elephant : crime, punishment, and social behavior on the Overland Trail / by John Phillip Reid.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Reid, John Phillip.</t>
        </is>
      </c>
      <c r="L1500" t="inlineStr">
        <is>
          <t>San Marino, Calif. : Huntington Library, c1997.</t>
        </is>
      </c>
      <c r="M1500" t="inlineStr">
        <is>
          <t>1997</t>
        </is>
      </c>
      <c r="O1500" t="inlineStr">
        <is>
          <t>eng</t>
        </is>
      </c>
      <c r="P1500" t="inlineStr">
        <is>
          <t>cau</t>
        </is>
      </c>
      <c r="R1500" t="inlineStr">
        <is>
          <t xml:space="preserve">HV </t>
        </is>
      </c>
      <c r="S1500" t="n">
        <v>5</v>
      </c>
      <c r="T1500" t="n">
        <v>5</v>
      </c>
      <c r="U1500" t="inlineStr">
        <is>
          <t>1999-10-03</t>
        </is>
      </c>
      <c r="V1500" t="inlineStr">
        <is>
          <t>1999-10-03</t>
        </is>
      </c>
      <c r="W1500" t="inlineStr">
        <is>
          <t>1997-04-04</t>
        </is>
      </c>
      <c r="X1500" t="inlineStr">
        <is>
          <t>1997-04-04</t>
        </is>
      </c>
      <c r="Y1500" t="n">
        <v>286</v>
      </c>
      <c r="Z1500" t="n">
        <v>267</v>
      </c>
      <c r="AA1500" t="n">
        <v>272</v>
      </c>
      <c r="AB1500" t="n">
        <v>5</v>
      </c>
      <c r="AC1500" t="n">
        <v>5</v>
      </c>
      <c r="AD1500" t="n">
        <v>17</v>
      </c>
      <c r="AE1500" t="n">
        <v>17</v>
      </c>
      <c r="AF1500" t="n">
        <v>4</v>
      </c>
      <c r="AG1500" t="n">
        <v>4</v>
      </c>
      <c r="AH1500" t="n">
        <v>0</v>
      </c>
      <c r="AI1500" t="n">
        <v>0</v>
      </c>
      <c r="AJ1500" t="n">
        <v>7</v>
      </c>
      <c r="AK1500" t="n">
        <v>7</v>
      </c>
      <c r="AL1500" t="n">
        <v>3</v>
      </c>
      <c r="AM1500" t="n">
        <v>3</v>
      </c>
      <c r="AN1500" t="n">
        <v>6</v>
      </c>
      <c r="AO1500" t="n">
        <v>6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HYPERLINK("https://creighton-primo.hosted.exlibrisgroup.com/primo-explore/search?tab=default_tab&amp;search_scope=EVERYTHING&amp;vid=01CRU&amp;lang=en_US&amp;offset=0&amp;query=any,contains,991002691839702656","Catalog Record")</f>
        <v/>
      </c>
      <c r="AT1500">
        <f>HYPERLINK("http://www.worldcat.org/oclc/35159215","WorldCat Record")</f>
        <v/>
      </c>
      <c r="AU1500" t="inlineStr">
        <is>
          <t>476876259:eng</t>
        </is>
      </c>
      <c r="AV1500" t="inlineStr">
        <is>
          <t>35159215</t>
        </is>
      </c>
      <c r="AW1500" t="inlineStr">
        <is>
          <t>991002691839702656</t>
        </is>
      </c>
      <c r="AX1500" t="inlineStr">
        <is>
          <t>991002691839702656</t>
        </is>
      </c>
      <c r="AY1500" t="inlineStr">
        <is>
          <t>2262348050002656</t>
        </is>
      </c>
      <c r="AZ1500" t="inlineStr">
        <is>
          <t>BOOK</t>
        </is>
      </c>
      <c r="BB1500" t="inlineStr">
        <is>
          <t>9780873281591</t>
        </is>
      </c>
      <c r="BC1500" t="inlineStr">
        <is>
          <t>32285002479466</t>
        </is>
      </c>
      <c r="BD1500" t="inlineStr">
        <is>
          <t>893445306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